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4.xml" ContentType="application/vnd.openxmlformats-officedocument.spreadsheetml.comments+xml"/>
  <Override PartName="/xl/comments4.xml" ContentType="application/vnd.openxmlformats-officedocument.spreadsheetml.comments+xml"/>
  <Override PartName="/xl/workbook.xml" ContentType="application/vnd.openxmlformats-officedocument.spreadsheetml.sheet.main+xml"/>
  <Override PartName="/xl/comments30.xml" ContentType="application/vnd.openxmlformats-officedocument.spreadsheetml.comments+xml"/>
  <Override PartName="/xl/comments28.xml" ContentType="application/vnd.openxmlformats-officedocument.spreadsheetml.comments+xml"/>
  <Override PartName="/xl/comments26.xml" ContentType="application/vnd.openxmlformats-officedocument.spreadsheetml.comments+xml"/>
  <Override PartName="/xl/comments25.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comments19.xml" ContentType="application/vnd.openxmlformats-officedocument.spreadsheetml.comments+xml"/>
  <Override PartName="/xl/worksheets/_rels/sheet6.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30.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1.xml.rels" ContentType="application/vnd.openxmlformats-package.relationships+xml"/>
  <Override PartName="/xl/worksheets/_rels/sheet20.xml.rels" ContentType="application/vnd.openxmlformats-package.relationships+xml"/>
  <Override PartName="/xl/worksheets/_rels/sheet2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20.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6.xml" ContentType="application/vnd.openxmlformats-officedocument.spreadsheetml.comments+xml"/>
  <Override PartName="/xl/comments16.xml" ContentType="application/vnd.openxmlformats-officedocument.spreadsheetml.comments+xml"/>
  <Override PartName="/xl/styles.xml" ContentType="application/vnd.openxmlformats-officedocument.spreadsheetml.style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Budget FY2027" sheetId="10" state="visible" r:id="rId12"/>
    <sheet name="Budget vs Model FY2027" sheetId="11" state="visible" r:id="rId13"/>
    <sheet name="Reforecast Q1 2026" sheetId="12" state="hidden" r:id="rId14"/>
    <sheet name="BD Commission" sheetId="13" state="visible" r:id="rId15"/>
    <sheet name="Projects" sheetId="14" state="visible" r:id="rId16"/>
    <sheet name="Contracts In Process" sheetId="15" state="visible" r:id="rId17"/>
    <sheet name="Personnel" sheetId="16" state="visible" r:id="rId18"/>
    <sheet name="Appendix" sheetId="17" state="hidden" r:id="rId19"/>
    <sheet name="Sensitivity" sheetId="18" state="hidden" r:id="rId20"/>
    <sheet name="Curves" sheetId="19" state="hidden" r:id="rId21"/>
    <sheet name="Assumptions" sheetId="20" state="visible" r:id="rId22"/>
    <sheet name="Escalation" sheetId="21" state="hidden" r:id="rId23"/>
    <sheet name="Helpers" sheetId="22" state="hidden" r:id="rId24"/>
    <sheet name="LIHTC Project P&amp;L" sheetId="23" state="hidden" r:id="rId25"/>
    <sheet name="BD Commission Detail" sheetId="24" state="visible" r:id="rId26"/>
    <sheet name="Retention" sheetId="25" state="visible" r:id="rId27"/>
    <sheet name="Deal Terms" sheetId="26" state="visible" r:id="rId28"/>
    <sheet name="Staffing" sheetId="27" state="visible" r:id="rId29"/>
    <sheet name="Bonding Program" sheetId="28" state="visible" r:id="rId30"/>
    <sheet name="APA &gt;&gt;" sheetId="29" state="visible" r:id="rId31"/>
    <sheet name="APA Inputs" sheetId="30" state="visible" r:id="rId32"/>
    <sheet name="APA Schedule" sheetId="31" state="visible" r:id="rId33"/>
    <sheet name="APA Summary" sheetId="32" state="visible" r:id="rId34"/>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comment>
    <comment ref="A22" authorId="0">
      <text>
        <r>
          <rPr>
            <sz val="10"/>
            <rFont val="Arial"/>
            <family val="2"/>
          </rPr>
          <t xml:space="preserve">HVN 2027 pipeline (Chris 6 Oct 2026; Matt Land call 6 Oct). Was BD-06 placeholder. Kester: 5003 Kester, CTCAC R3 app 26-717, 77 units; HVN budget until LV ROM is run.</t>
        </r>
      </text>
    </comment>
    <comment ref="B18" authorId="0">
      <text>
        <r>
          <rPr>
            <sz val="10"/>
            <rFont val="Arial"/>
            <family val="2"/>
          </rPr>
          <t xml:space="preserve">Restored 27-Sep-26 to the HVN Round 2 ROM ($11,317,385). The 26-Sep rename had copied the in-construction Riverton contract ($14,337,010.80) onto this row.</t>
        </r>
      </text>
    </comment>
    <comment ref="B21" authorId="0">
      <text>
        <r>
          <rPr>
            <sz val="10"/>
            <rFont val="Arial"/>
            <family val="2"/>
          </rPr>
          <t xml:space="preserve">Plan consolidation 9 Oct 2026 (Chris). Actual GMP, 5614 Troost Ave (HVN 75 Troost), GMP budget end of September; signing week of 9 Oct. Was 15,189,509.</t>
        </r>
      </text>
    </comment>
    <comment ref="C13" authorId="0">
      <text>
        <r>
          <rPr>
            <sz val="10"/>
            <rFont val="Arial"/>
            <family val="2"/>
          </rPr>
          <t xml:space="preserve">Plan consolidation 9 Oct 2026 (Chris). Was 13 (Apr-27). Construction start May 2027, first billing Jun 2027 (month 15). Reseda is on in every plan.</t>
        </r>
      </text>
    </comment>
    <comment ref="C17" authorId="0">
      <text>
        <r>
          <rPr>
            <sz val="10"/>
            <rFont val="Arial"/>
            <family val="2"/>
          </rPr>
          <t xml:space="preserve">HVN 2027 pipeline (Chris 6 Oct 2026; Matt Land call 6 Oct). Sep 2027 (month 18). HVN sheet shows 1 Aug 2027; readiness requires NTP by 19 Jul 2027 bond date.</t>
        </r>
      </text>
    </comment>
    <comment ref="C18" authorId="0">
      <text>
        <r>
          <rPr>
            <sz val="10"/>
            <rFont val="Arial"/>
            <family val="2"/>
          </rPr>
          <t xml:space="preserve">HVN 2027 pipeline (Chris 6 Oct 2026; Matt Land call 6 Oct). Was 15 (Jun-27), $11,317,385. Now May 2027 (month 14) at LV ROM v2.2.0 $11,537,565 (HVN budget $12,747,527).</t>
        </r>
      </tex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comment>
    <comment ref="C21" authorId="0">
      <text>
        <r>
          <rPr>
            <sz val="10"/>
            <rFont val="Arial"/>
            <family val="2"/>
          </rPr>
          <t xml:space="preserve">Plan consolidation 9 Oct 2026 (Chris). Was 10 (Jan-27). First billing Dec 2026 (month 9).</t>
        </r>
      </text>
    </comment>
    <comment ref="C22" authorId="0">
      <text>
        <r>
          <rPr>
            <sz val="10"/>
            <rFont val="Arial"/>
            <family val="2"/>
          </rPr>
          <t xml:space="preserve">HVN 2027 pipeline (Chris 6 Oct 2026; Matt Land call 6 Oct). Oct 2027 (month 19), matching HVN's sheet.</t>
        </r>
      </text>
    </comment>
    <comment ref="D9" authorId="0">
      <text>
        <r>
          <rPr>
            <sz val="10"/>
            <rFont val="Arial"/>
            <family val="2"/>
          </rPr>
          <t xml:space="preserve">26-Sep-26 (Chris): Riverton completion Feb-2028 (month 23) = start 5 + 19 months - 1. Curve 3 (19-month).</t>
        </r>
      </text>
    </comment>
    <comment ref="D21" authorId="0">
      <text>
        <r>
          <rPr>
            <sz val="10"/>
            <rFont val="Arial"/>
            <family val="2"/>
          </rPr>
          <t xml:space="preserve">Plan consolidation 9 Oct 2026 (Chris). Was 19. GMP carries 20 months of supervision; completion Jul 2028. Bills on Curves row 11 (curve 3 at 20 months).</t>
        </r>
      </text>
    </comment>
    <comment ref="E19" authorId="0">
      <text>
        <r>
          <rPr>
            <sz val="10"/>
            <rFont val="Arial"/>
            <family val="2"/>
          </rPr>
          <t xml:space="preserve">Claude 6 Oct 2026: Moorpark bills on Curves row 10 (curve 3 at 18 months); this column is a label only.</t>
        </r>
      </text>
    </comment>
    <comment ref="J11" authorId="0">
      <text>
        <r>
          <rPr>
            <sz val="10"/>
            <rFont val="Arial"/>
            <family val="2"/>
          </rPr>
          <t xml:space="preserve">Was Yes. Steyn no longer guarantees Klump &amp; Scott (Chris 3 Oct 2026).</t>
        </r>
      </text>
    </comment>
    <comment ref="L21" authorId="0">
      <text>
        <r>
          <rPr>
            <sz val="10"/>
            <rFont val="Arial"/>
            <family val="2"/>
          </rPr>
          <t xml:space="preserve">Plan consolidation 9 Oct 2026 (Chris). Third-party GC, not bonded, non-LIHTC.</t>
        </r>
      </tex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comments30.xml><?xml version="1.0" encoding="utf-8"?>
<comments xmlns="http://schemas.openxmlformats.org/spreadsheetml/2006/main" xmlns:xdr="http://schemas.openxmlformats.org/drawingml/2006/spreadsheetDrawing">
  <authors>
    <author>Unknown Author</author>
  </authors>
  <commentList>
    <comment ref="B9" authorId="0">
      <text>
        <r>
          <rPr>
            <sz val="10"/>
            <rFont val="Arial"/>
            <family val="2"/>
          </rPr>
          <t xml:space="preserve">Subsidiaries 9 Oct 2026 (Chris). Linked to the 3rd Street contract start below (as in the Polk model).</t>
        </r>
      </text>
    </comment>
  </commentList>
</comments>
</file>

<file path=xl/sharedStrings.xml><?xml version="1.0" encoding="utf-8"?>
<sst xmlns="http://schemas.openxmlformats.org/spreadsheetml/2006/main" count="3754" uniqueCount="1442">
  <si>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</si>
  <si>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</si>
  <si>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</si>
  <si>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</si>
  <si>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</si>
  <si>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</si>
  <si>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</si>
  <si>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</si>
  <si>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</si>
  <si>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</si>
  <si>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</si>
  <si>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</si>
  <si>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</si>
  <si>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</si>
  <si>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</si>
  <si>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</si>
  <si>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</si>
  <si>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</si>
  <si>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</si>
  <si>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</si>
  <si>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</si>
  <si>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</si>
  <si>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</si>
  <si>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</si>
  <si>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</si>
  <si>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</si>
  <si>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</si>
  <si>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</si>
  <si>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</si>
  <si>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</si>
  <si>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</si>
  <si>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</si>
  <si>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</si>
  <si>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</si>
  <si>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</si>
  <si>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</si>
  <si>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</si>
  <si>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</si>
  <si>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</si>
  <si>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</si>
  <si>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</si>
  <si>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</si>
  <si>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</si>
  <si>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</si>
  <si>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</si>
  <si>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</si>
  <si>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</si>
  <si>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</si>
  <si>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</si>
  <si>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</si>
  <si>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</si>
  <si>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</si>
  <si>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</si>
  <si>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</si>
  <si>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</si>
  <si>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</si>
  <si>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</si>
  <si>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</si>
  <si>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</si>
  <si>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</si>
  <si>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</si>
  <si>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</si>
  <si>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</si>
  <si>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</si>
  <si>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 (incl. LV year-end bonus pool, Assumptions B151:B152)</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</si>
  <si>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</si>
  <si>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</si>
  <si>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</si>
  <si>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</si>
  <si>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</si>
  <si>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</si>
  <si>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</si>
  <si>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</si>
  <si>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</si>
  <si>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</si>
  <si>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</si>
  <si>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 (incl. pay-app automation, Assumptions B153:B155)</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</si>
  <si>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</si>
  <si>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</si>
  <si>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</si>
  <si>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</si>
  <si>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</si>
  <si>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</si>
  <si>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</si>
  <si>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</si>
  <si>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</si>
  <si>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</si>
  <si>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</si>
  <si>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</si>
  <si>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</si>
  <si>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</si>
  <si>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</si>
  <si>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</si>
  <si>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</si>
  <si>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</si>
  <si>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</si>
  <si>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</si>
  <si>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</si>
  <si>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</si>
  <si>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</si>
  <si>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</si>
  <si>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</si>
  <si>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</si>
  <si>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</si>
  <si>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</si>
  <si>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</si>
  <si>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</si>
  <si>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</si>
  <si>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</si>
  <si>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</si>
  <si>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</si>
  <si>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</si>
  <si>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</si>
  <si>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</si>
  <si>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</si>
  <si>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</si>
  <si>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</si>
  <si>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</si>
  <si>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</si>
  <si>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</si>
  <si>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</si>
  <si>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</si>
  <si>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</si>
  <si>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5000-1000 Payroll</t>
  </si>
  <si>
    <t xml:space="preserve">5200-1053 IT Software and Subscriptions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</si>
  <si>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</si>
  <si>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</si>
  <si>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</si>
  <si>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</si>
  <si>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</si>
  <si>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</si>
  <si>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</si>
  <si>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</si>
  <si>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</si>
  <si>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</si>
  <si>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</si>
  <si>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</si>
  <si>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</si>
  <si>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</si>
  <si>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</si>
  <si>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</si>
  <si>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</si>
  <si>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</si>
  <si>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</si>
  <si>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</si>
  <si>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</si>
  <si>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</si>
  <si>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</si>
  <si>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</si>
  <si>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</si>
  <si>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</si>
  <si>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</si>
  <si>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</si>
  <si>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(FY2026: Nov 2025 budget; FY2027: budget approved 26 Oct 2026)</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</si>
  <si>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</si>
  <si>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</si>
  <si>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</si>
  <si>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</si>
  <si>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</si>
  <si>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</si>
  <si>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</si>
  <si>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</si>
  <si>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</si>
  <si>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</si>
  <si>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</si>
  <si>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</si>
  <si>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</si>
  <si>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</si>
  <si>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</si>
  <si>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</si>
  <si>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</si>
  <si>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</si>
  <si>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</si>
  <si>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</si>
  <si>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</si>
  <si>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</si>
  <si>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</si>
  <si>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</si>
  <si>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</si>
  <si>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</si>
  <si>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</si>
  <si>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</si>
  <si>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</si>
  <si>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</si>
  <si>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</si>
  <si>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</si>
  <si>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</si>
  <si>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</si>
  <si>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</si>
  <si>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</si>
  <si>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</si>
  <si>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</si>
  <si>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</si>
  <si>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</si>
  <si>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</si>
  <si>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</si>
  <si>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</si>
  <si>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</si>
  <si>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</si>
  <si>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</si>
  <si>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</si>
  <si>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</si>
  <si>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</si>
  <si>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</si>
  <si>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</si>
  <si>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</si>
  <si>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</si>
  <si>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</si>
  <si>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</si>
  <si>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</si>
  <si>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</si>
  <si>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</si>
  <si>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</si>
  <si>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</si>
  <si>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</si>
  <si>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</si>
  <si>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</si>
  <si>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</si>
  <si>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</si>
  <si>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</si>
  <si>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</si>
  <si>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</si>
  <si>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</si>
  <si>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</si>
  <si>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</si>
  <si>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</si>
  <si>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</si>
  <si>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</si>
  <si>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</si>
  <si>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</si>
  <si>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</si>
  <si>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</si>
  <si>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</si>
  <si>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</si>
  <si>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</si>
  <si>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</si>
  <si>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</si>
  <si>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</si>
  <si>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</si>
  <si>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</si>
  <si>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</si>
  <si>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</si>
  <si>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</si>
  <si>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</si>
  <si>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</si>
  <si>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</si>
  <si>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</si>
  <si>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</si>
  <si>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</si>
  <si>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</si>
  <si>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</si>
  <si>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</si>
  <si>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</si>
  <si>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</si>
  <si>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</si>
  <si>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</si>
  <si>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</si>
  <si>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</si>
  <si>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</si>
  <si>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</si>
  <si>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</si>
  <si>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</si>
  <si>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</si>
  <si>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</si>
  <si>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</si>
  <si>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</si>
  <si>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</si>
  <si>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</si>
  <si>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</si>
  <si>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</si>
  <si>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</si>
  <si>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</si>
  <si>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</si>
  <si>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</si>
  <si>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</si>
  <si>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</si>
  <si>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</si>
  <si>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</si>
  <si>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</si>
  <si>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</si>
  <si>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</si>
  <si>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</si>
  <si>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</si>
  <si>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</si>
  <si>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</si>
  <si>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</si>
  <si>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</si>
  <si>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</si>
  <si>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</si>
  <si>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</si>
  <si>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</si>
  <si>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</si>
  <si>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</si>
  <si>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</si>
  <si>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</si>
  <si>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</si>
  <si>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</si>
  <si>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</si>
  <si>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</si>
  <si>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</si>
  <si>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</si>
  <si>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</si>
  <si>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</si>
  <si>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</si>
  <si>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</si>
  <si>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</si>
  <si>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</si>
  <si>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</si>
  <si>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</si>
  <si>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</si>
  <si>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</si>
  <si>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</si>
  <si>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</si>
  <si>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</si>
  <si>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</si>
  <si>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</si>
  <si>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</si>
  <si>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</si>
  <si>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</si>
  <si>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</si>
  <si>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</si>
  <si>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</si>
  <si>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</si>
  <si>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</si>
  <si>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</si>
  <si>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</si>
  <si>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</si>
  <si>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</si>
  <si>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</si>
  <si>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</si>
  <si>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</si>
  <si>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</si>
  <si>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</si>
  <si>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</si>
  <si>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</si>
  <si>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</si>
  <si>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</si>
  <si>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</si>
  <si>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</si>
  <si>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</si>
  <si>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</si>
  <si>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</si>
  <si>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</si>
  <si>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</si>
  <si>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</si>
  <si>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</si>
  <si>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</si>
  <si>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</si>
  <si>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</si>
  <si>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</si>
  <si>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</si>
  <si>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</si>
  <si>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</si>
  <si>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</si>
  <si>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</si>
  <si>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</si>
  <si>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</si>
  <si>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</si>
  <si>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</si>
  <si>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</si>
  <si>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</si>
  <si>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</si>
  <si>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</si>
  <si>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</si>
  <si>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</si>
  <si>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</si>
  <si>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</si>
  <si>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</si>
  <si>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</si>
  <si>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</si>
  <si>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</si>
  <si>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</si>
  <si>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</si>
  <si>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</si>
  <si>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</si>
  <si>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</si>
  <si>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</si>
  <si>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</si>
  <si>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</si>
  <si>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</si>
  <si>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</si>
  <si>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</si>
  <si>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</si>
  <si>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</si>
  <si>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</si>
  <si>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</si>
  <si>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</si>
  <si>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</si>
  <si>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</si>
  <si>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</si>
  <si>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</si>
  <si>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</si>
  <si>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</si>
  <si>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</si>
  <si>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</si>
  <si>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</si>
  <si>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</si>
  <si>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</si>
  <si>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</si>
  <si>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</si>
  <si>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</si>
  <si>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</si>
  <si>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</si>
  <si>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</si>
  <si>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</si>
  <si>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</si>
  <si>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</si>
  <si>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</si>
  <si>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</si>
  <si>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</si>
  <si>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</si>
  <si>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</si>
  <si>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</si>
  <si>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</si>
  <si>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</si>
  <si>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</si>
  <si>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</si>
  <si>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</si>
  <si>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</si>
  <si>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</si>
  <si>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</si>
  <si>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</si>
  <si>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</si>
  <si>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</si>
  <si>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</si>
  <si>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</si>
  <si>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</si>
  <si>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</si>
  <si>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</si>
  <si>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</si>
  <si>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</si>
  <si>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</si>
  <si>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</si>
  <si>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</si>
  <si>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</si>
  <si>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</si>
  <si>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</si>
  <si>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</si>
  <si>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</si>
  <si>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</si>
  <si>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</si>
  <si>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</si>
  <si>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</si>
  <si>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</si>
  <si>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</si>
  <si>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</si>
  <si>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</si>
  <si>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</si>
  <si>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</si>
  <si>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</si>
  <si>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</si>
  <si>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</si>
  <si>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</si>
  <si>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</si>
  <si>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</si>
  <si>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</si>
  <si>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</si>
  <si>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</si>
  <si>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</si>
  <si>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</si>
  <si>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</si>
  <si>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</si>
  <si>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</si>
  <si>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</si>
  <si>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</si>
  <si>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</si>
  <si>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</si>
  <si>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</si>
  <si>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</si>
  <si>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</si>
  <si>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</si>
  <si>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</si>
  <si>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</si>
  <si>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</si>
  <si>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</si>
  <si>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</si>
  <si>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</si>
  <si>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</si>
  <si>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</si>
  <si>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</si>
  <si>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</si>
  <si>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</si>
  <si>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</si>
  <si>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</si>
  <si>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</si>
  <si>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</si>
  <si>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</si>
  <si>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</si>
  <si>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</si>
  <si>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</si>
  <si>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</si>
  <si>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</si>
  <si>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</si>
  <si>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</si>
  <si>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</si>
  <si>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</si>
  <si>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</si>
  <si>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</si>
  <si>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</si>
  <si>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</si>
  <si>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</si>
  <si>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</si>
  <si>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</si>
  <si>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</si>
  <si>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</si>
  <si>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</si>
  <si>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</si>
  <si>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</si>
  <si>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</si>
  <si>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</si>
  <si>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</si>
  <si>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</si>
  <si>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</si>
  <si>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</si>
  <si>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</si>
  <si>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</si>
  <si>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</si>
  <si>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</si>
  <si>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</si>
  <si>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</si>
  <si>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</si>
  <si>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</si>
  <si>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</si>
  <si>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</si>
  <si>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</si>
  <si>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</si>
  <si>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</si>
  <si>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</si>
  <si>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</si>
  <si>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BUDGET FY2027: recommended for board approval, 2 November 2026 (internal sign-off 26 Oct; revised 28 Oct)</t>
  </si>
  <si>
    <t xml:space="preserve">Frozen. Revised 28 Oct 2026: Acama on its $22,072,845 GMP with actual bond figures; 12th &amp; Fir developer fee $8,800 a month; October 2027 superintendent at $160,000 (was $125,000). From 'Six Peak FY2027 Operating Budget - FINAL 2026-10-26.xlsx' (Base Case with Reseda and Beverly). Lines follow the Model rows (column B). Do not edit.</t>
  </si>
  <si>
    <t xml:space="preserve">Bonus pool (5000-1010) is inside Payroll; pay-app automation (5200-1056) is inside IT Software, as in the Model.</t>
  </si>
  <si>
    <t xml:space="preserve">Line</t>
  </si>
  <si>
    <t xml:space="preserve">Model row</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</si>
  <si>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</si>
  <si>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</si>
  <si>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</si>
  <si>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</si>
  <si>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</si>
  <si>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</si>
  <si>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</si>
  <si>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</si>
  <si>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</si>
  <si>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</si>
  <si>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</si>
  <si>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</si>
  <si>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FY2027</t>
  </si>
  <si>
    <t xml:space="preserve">SIX PEAK</t>
  </si>
  <si>
    <t xml:space="preserve">SUBSIDIARIES AND CONSOLIDATED</t>
  </si>
  <si>
    <t xml:space="preserve">FY2027: budget versus model (actuals + forecast)</t>
  </si>
  <si>
    <t xml:space="preserve">Through month (1-12)</t>
  </si>
  <si>
    <t xml:space="preserve">Model columns N:Y are Jan-Dec 2027; closed months carry actuals once 2027 closes. Change B2 for year to date.</t>
  </si>
  <si>
    <t xml:space="preserve">Model</t>
  </si>
  <si>
    <t xml:space="preserve">Variance</t>
  </si>
  <si>
    <t xml:space="preserve">Var %</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</si>
  <si>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</si>
  <si>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</si>
  <si>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</si>
  <si>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</si>
  <si>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</si>
  <si>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</si>
  <si>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</si>
  <si>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</si>
  <si>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</si>
  <si>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</si>
  <si>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</si>
  <si>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</si>
  <si>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</si>
  <si>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</si>
  <si>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</si>
  <si>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</si>
  <si>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</si>
  <si>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</si>
  <si>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</si>
  <si>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</si>
  <si>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</si>
  <si>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</si>
  <si>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</si>
  <si>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</si>
  <si>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</si>
  <si>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</si>
  <si>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</si>
  <si>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</si>
  <si>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</si>
  <si>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</si>
  <si>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</si>
  <si>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</si>
  <si>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</si>
  <si>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</si>
  <si>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</si>
  <si>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</si>
  <si>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</si>
  <si>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</si>
  <si>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</si>
  <si>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</si>
  <si>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</si>
  <si>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</si>
  <si>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</si>
  <si>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</si>
  <si>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</si>
  <si>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</si>
  <si>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</si>
  <si>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</si>
  <si>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</si>
  <si>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</si>
  <si>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</si>
  <si>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</si>
  <si>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</si>
  <si>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</si>
  <si>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</si>
  <si>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</si>
  <si>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</si>
  <si>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</si>
  <si>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</si>
  <si>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</si>
  <si>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</si>
  <si>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</si>
  <si>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</si>
  <si>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</si>
  <si>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</si>
  <si>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</si>
  <si>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</si>
  <si>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</si>
  <si>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</si>
  <si>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</si>
  <si>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</si>
  <si>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</si>
  <si>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</si>
  <si>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</si>
  <si>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</si>
  <si>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</si>
  <si>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</si>
  <si>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</si>
  <si>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</si>
  <si>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</si>
  <si>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</si>
  <si>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</si>
  <si>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</si>
  <si>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</si>
  <si>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</si>
  <si>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</si>
  <si>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</si>
  <si>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</si>
  <si>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</si>
  <si>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</si>
  <si>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</si>
  <si>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</si>
  <si>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</si>
  <si>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</si>
  <si>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</si>
  <si>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</si>
  <si>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</si>
  <si>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</si>
  <si>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</si>
  <si>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</si>
  <si>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</si>
  <si>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</si>
  <si>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</si>
  <si>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</si>
  <si>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</si>
  <si>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</si>
  <si>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</si>
  <si>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</si>
  <si>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</si>
  <si>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</si>
  <si>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</si>
  <si>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</si>
  <si>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</si>
  <si>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</si>
  <si>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</si>
  <si>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</si>
  <si>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</si>
  <si>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</si>
  <si>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</si>
  <si>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</si>
  <si>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</si>
  <si>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</si>
  <si>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</si>
  <si>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</si>
  <si>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</si>
  <si>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</si>
  <si>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</si>
  <si>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</si>
  <si>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</si>
  <si>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</si>
  <si>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</si>
  <si>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</si>
  <si>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</si>
  <si>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</si>
  <si>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</si>
  <si>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</si>
  <si>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</si>
  <si>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</si>
  <si>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</si>
  <si>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</si>
  <si>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</si>
  <si>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</si>
  <si>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</si>
  <si>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</si>
  <si>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</si>
  <si>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</si>
  <si>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</si>
  <si>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</si>
  <si>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</si>
  <si>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</si>
  <si>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</si>
  <si>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</si>
  <si>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</si>
  <si>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</si>
  <si>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</si>
  <si>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</si>
  <si>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</si>
  <si>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</si>
  <si>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</si>
  <si>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</si>
  <si>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</si>
  <si>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</si>
  <si>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</si>
  <si>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</si>
  <si>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Priscilla Hernandez</t>
  </si>
  <si>
    <t xml:space="preserve">Hired Oct 2026 as the Project Coordinator (replaces the planned PC add); $100,000 (Chris 26 Oct 2026)</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</si>
  <si>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</si>
  <si>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</si>
  <si>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</si>
  <si>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</si>
  <si>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</si>
  <si>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</si>
  <si>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</si>
  <si>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</si>
  <si>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</si>
  <si>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</si>
  <si>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</si>
  <si>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</si>
  <si>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</si>
  <si>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</si>
  <si>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</si>
  <si>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</si>
  <si>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</si>
  <si>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</si>
  <si>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</si>
  <si>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</si>
  <si>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</si>
  <si>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</si>
  <si>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</si>
  <si>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</si>
  <si>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</si>
  <si>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</si>
  <si>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</si>
  <si>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</si>
  <si>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</si>
  <si>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</si>
  <si>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- 2027 RAISES (incremental salary rows)</t>
  </si>
  <si>
    <t xml:space="preserve">Robert Carrega (5% raise, Jan 2027)</t>
  </si>
  <si>
    <t xml:space="preserve">Raise to $157,500 effective Jan 2027 (Chris 26 Oct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</si>
  <si>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</si>
  <si>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</si>
  <si>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</si>
  <si>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</si>
  <si>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</si>
  <si>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</si>
  <si>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</si>
  <si>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</si>
  <si>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</si>
  <si>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</si>
  <si>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</si>
  <si>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</si>
  <si>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</si>
  <si>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</si>
  <si>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</si>
  <si>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</si>
  <si>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</si>
  <si>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</si>
  <si>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</si>
  <si>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</si>
  <si>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</si>
  <si>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</si>
  <si>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</si>
  <si>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</si>
  <si>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</si>
  <si>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</si>
  <si>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</si>
  <si>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</si>
  <si>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</si>
  <si>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</si>
  <si>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</si>
  <si>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</si>
  <si>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</si>
  <si>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</si>
  <si>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</si>
  <si>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</si>
  <si>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</si>
  <si>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</si>
  <si>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</si>
  <si>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</si>
  <si>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</si>
  <si>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</si>
  <si>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</si>
  <si>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</si>
  <si>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</si>
  <si>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</si>
  <si>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</si>
  <si>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</si>
  <si>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</si>
  <si>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</si>
  <si>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</si>
  <si>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</si>
  <si>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</si>
  <si>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</si>
  <si>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</si>
  <si>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</si>
  <si>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</si>
  <si>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</si>
  <si>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</si>
  <si>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</si>
  <si>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</si>
  <si>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</si>
  <si>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</si>
  <si>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</si>
  <si>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</si>
  <si>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</si>
  <si>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</si>
  <si>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</si>
  <si>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</si>
  <si>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</si>
  <si>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</si>
  <si>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</si>
  <si>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</si>
  <si>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</si>
  <si>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</si>
  <si>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</si>
  <si>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</si>
  <si>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</si>
  <si>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</si>
  <si>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</si>
  <si>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</si>
  <si>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</si>
  <si>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</si>
  <si>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</si>
  <si>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</si>
  <si>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</si>
  <si>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</si>
  <si>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</si>
  <si>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</si>
  <si>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</si>
  <si>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</si>
  <si>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</si>
  <si>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</si>
  <si>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</si>
  <si>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</si>
  <si>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</si>
  <si>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</si>
  <si>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</si>
  <si>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</si>
  <si>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</si>
  <si>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</si>
  <si>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</si>
  <si>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</si>
  <si>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</si>
  <si>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</si>
  <si>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</si>
  <si>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</si>
  <si>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</si>
  <si>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</si>
  <si>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</si>
  <si>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</si>
  <si>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</si>
  <si>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</si>
  <si>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</si>
  <si>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</si>
  <si>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</si>
  <si>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</si>
  <si>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</si>
  <si>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</si>
  <si>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</si>
  <si>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</si>
  <si>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</si>
  <si>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</si>
  <si>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</si>
  <si>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</si>
  <si>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</si>
  <si>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</si>
  <si>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</si>
  <si>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</si>
  <si>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</si>
  <si>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</si>
  <si>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</si>
  <si>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</si>
  <si>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</si>
  <si>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</si>
  <si>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</si>
  <si>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</si>
  <si>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</si>
  <si>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</si>
  <si>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</si>
  <si>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</si>
  <si>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</si>
  <si>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</si>
  <si>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</si>
  <si>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</si>
  <si>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</si>
  <si>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</si>
  <si>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</si>
  <si>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</si>
  <si>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</si>
  <si>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</si>
  <si>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</si>
  <si>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</si>
  <si>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</si>
  <si>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</si>
  <si>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</si>
  <si>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</si>
  <si>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</si>
  <si>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</si>
  <si>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</si>
  <si>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</si>
  <si>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</si>
  <si>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</si>
  <si>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</si>
  <si>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</si>
  <si>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</si>
  <si>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</si>
  <si>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</si>
  <si>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</si>
  <si>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</si>
  <si>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</si>
  <si>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</si>
  <si>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</si>
  <si>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</si>
  <si>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</si>
  <si>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</si>
  <si>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</si>
  <si>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</si>
  <si>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</si>
  <si>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</si>
  <si>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</si>
  <si>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</si>
  <si>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</si>
  <si>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</si>
  <si>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</si>
  <si>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</si>
  <si>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</si>
  <si>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</si>
  <si>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</si>
  <si>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</si>
  <si>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</si>
  <si>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</si>
  <si>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</si>
  <si>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</si>
  <si>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</si>
  <si>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</si>
  <si>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</si>
  <si>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</si>
  <si>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</si>
  <si>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</si>
  <si>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</si>
  <si>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</si>
  <si>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</si>
  <si>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</si>
  <si>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</si>
  <si>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</si>
  <si>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</si>
  <si>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</si>
  <si>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</si>
  <si>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</si>
  <si>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</si>
  <si>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</si>
  <si>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</si>
  <si>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</si>
  <si>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</si>
  <si>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</si>
  <si>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</si>
  <si>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</si>
  <si>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</si>
  <si>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</si>
  <si>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</si>
  <si>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</si>
  <si>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</si>
  <si>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</si>
  <si>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</si>
  <si>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</si>
  <si>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</si>
  <si>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</si>
  <si>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</si>
  <si>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</si>
  <si>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</si>
  <si>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</si>
  <si>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</si>
  <si>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</si>
  <si>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</si>
  <si>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</si>
  <si>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</si>
  <si>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</si>
  <si>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</si>
  <si>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</si>
  <si>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</si>
  <si>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</si>
  <si>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</si>
  <si>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</si>
  <si>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</si>
  <si>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</si>
  <si>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</si>
  <si>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</si>
  <si>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</si>
  <si>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</si>
  <si>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</si>
  <si>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</si>
  <si>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</si>
  <si>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</si>
  <si>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</si>
  <si>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</si>
  <si>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</si>
  <si>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</si>
  <si>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</si>
  <si>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</si>
  <si>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</si>
  <si>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</si>
  <si>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</si>
  <si>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</si>
  <si>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</si>
  <si>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</si>
  <si>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</si>
  <si>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</si>
  <si>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</si>
  <si>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</si>
  <si>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</si>
  <si>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</si>
  <si>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</si>
  <si>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</si>
  <si>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</si>
  <si>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</si>
  <si>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</si>
  <si>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</si>
  <si>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</si>
  <si>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</si>
  <si>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</si>
  <si>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</si>
  <si>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</si>
  <si>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</si>
  <si>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</si>
  <si>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</si>
  <si>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</si>
  <si>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</si>
  <si>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</si>
  <si>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</si>
  <si>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</si>
  <si>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</si>
  <si>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</si>
  <si>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</si>
  <si>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</si>
  <si>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</si>
  <si>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</si>
  <si>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</si>
  <si>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</si>
  <si>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</si>
  <si>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</si>
  <si>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</si>
  <si>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</si>
  <si>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</si>
  <si>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FY2027 BUDGET INPUTS (26 Oct 2026)</t>
  </si>
  <si>
    <t xml:space="preserve">LV bonus pool, Dec 2026 (month 9)</t>
  </si>
  <si>
    <t xml:space="preserve">LV bonus pool, every December from Dec 2027</t>
  </si>
  <si>
    <t xml:space="preserve">Pay-app automation one-time cost (Jan-Feb 2027, split evenly)</t>
  </si>
  <si>
    <t xml:space="preserve">Pay-app license, first 12 months (Jan-Dec 2027)</t>
  </si>
  <si>
    <t xml:space="preserve">Pay-app license from Jan 2028</t>
  </si>
  <si>
    <t xml:space="preserve">Expense and salary escalation: none until Jan 2028, then Assumptions!B26 each January (Escalation tab)</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</si>
  <si>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</si>
  <si>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</si>
  <si>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</si>
  <si>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</si>
  <si>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</si>
  <si>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</si>
  <si>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</si>
  <si>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</si>
  <si>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</si>
  <si>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</si>
  <si>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</si>
  <si>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</si>
  <si>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</si>
  <si>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</si>
  <si>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</si>
  <si>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</si>
  <si>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</si>
  <si>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</si>
  <si>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</si>
  <si>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</si>
  <si>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</si>
  <si>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</si>
  <si>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</si>
  <si>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</si>
  <si>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</si>
  <si>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</si>
  <si>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</si>
  <si>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</si>
  <si>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</si>
  <si>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</si>
  <si>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</si>
  <si>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</si>
  <si>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</si>
  <si>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</si>
  <si>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</si>
  <si>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</si>
  <si>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</si>
  <si>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</si>
  <si>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</si>
  <si>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</si>
  <si>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</si>
  <si>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</si>
  <si>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</si>
  <si>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</si>
  <si>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</si>
  <si>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</si>
  <si>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</si>
  <si>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</si>
  <si>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</si>
  <si>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</si>
  <si>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</si>
  <si>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</si>
  <si>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</si>
  <si>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</si>
  <si>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</si>
  <si>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</si>
  <si>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</si>
  <si>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</si>
  <si>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</si>
  <si>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</si>
  <si>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</si>
  <si>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</si>
  <si>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</si>
  <si>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</si>
  <si>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</si>
  <si>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</si>
  <si>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</si>
  <si>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</si>
  <si>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</si>
  <si>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</si>
  <si>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</si>
  <si>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</si>
  <si>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</si>
  <si>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</si>
  <si>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</si>
  <si>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</si>
  <si>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</si>
  <si>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</si>
  <si>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</si>
  <si>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</si>
  <si>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</si>
  <si>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</si>
  <si>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</si>
  <si>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</si>
  <si>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</si>
  <si>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</si>
  <si>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</si>
  <si>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</si>
  <si>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</si>
  <si>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</si>
  <si>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</si>
  <si>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</si>
  <si>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</si>
  <si>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</si>
  <si>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</si>
  <si>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</si>
  <si>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</si>
  <si>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</si>
  <si>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</si>
  <si>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</si>
  <si>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</si>
  <si>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</si>
  <si>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</si>
  <si>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</si>
  <si>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</si>
  <si>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</si>
  <si>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</si>
  <si>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</si>
  <si>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</si>
  <si>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</si>
  <si>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</si>
  <si>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</si>
  <si>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</si>
  <si>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</si>
  <si>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</si>
  <si>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</si>
  <si>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</si>
  <si>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</si>
  <si>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</si>
  <si>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</si>
  <si>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</si>
  <si>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</si>
  <si>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</si>
  <si>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</si>
  <si>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</si>
  <si>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</si>
  <si>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</si>
  <si>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</si>
  <si>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</si>
  <si>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</si>
  <si>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</si>
  <si>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</si>
  <si>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</si>
  <si>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</si>
  <si>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</si>
  <si>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</si>
  <si>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</si>
  <si>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</si>
  <si>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</si>
  <si>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</si>
  <si>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</si>
  <si>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</si>
  <si>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</si>
  <si>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</si>
  <si>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</si>
  <si>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</si>
  <si>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</si>
  <si>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</si>
  <si>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</si>
  <si>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</si>
  <si>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</si>
  <si>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</si>
  <si>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</si>
  <si>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</si>
  <si>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</si>
  <si>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</si>
  <si>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</si>
  <si>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</si>
  <si>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</si>
  <si>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</si>
  <si>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</si>
  <si>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</si>
  <si>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</si>
  <si>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</si>
  <si>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</si>
  <si>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</si>
  <si>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</si>
  <si>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</si>
  <si>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</si>
  <si>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</si>
  <si>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</si>
  <si>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</si>
  <si>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</si>
  <si>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</si>
  <si>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</si>
  <si>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</si>
  <si>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</si>
  <si>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</si>
  <si>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</si>
  <si>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</si>
  <si>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</si>
  <si>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</si>
  <si>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</si>
  <si>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</si>
  <si>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</si>
  <si>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</si>
  <si>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</si>
  <si>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</si>
  <si>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</si>
  <si>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</si>
  <si>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</si>
  <si>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</si>
  <si>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</si>
  <si>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</si>
  <si>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</si>
  <si>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</si>
  <si>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</si>
  <si>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</si>
  <si>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</si>
  <si>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</si>
  <si>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</si>
  <si>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</si>
  <si>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</si>
  <si>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</si>
  <si>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</si>
  <si>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</si>
  <si>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</si>
  <si>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Krueger cash held to the January payout (Acama, 26 Oct 2026)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</si>
  <si>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</si>
  <si>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</si>
  <si>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</si>
  <si>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</si>
  <si>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</si>
  <si>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</si>
  <si>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</si>
  <si>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</si>
  <si>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</si>
  <si>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</si>
  <si>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</si>
  <si>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</si>
  <si>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</si>
  <si>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</si>
  <si>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</si>
  <si>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</si>
  <si>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</si>
  <si>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</si>
  <si>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</si>
  <si>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</si>
  <si>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</si>
  <si>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</si>
  <si>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</si>
  <si>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</si>
  <si>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</si>
  <si>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</si>
  <si>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</si>
  <si>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</si>
  <si>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</si>
  <si>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</si>
  <si>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</si>
  <si>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</si>
  <si>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</si>
  <si>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</si>
  <si>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</si>
  <si>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</si>
  <si>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</si>
  <si>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</si>
  <si>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</si>
  <si>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Acama bond issued 10/12/2026 (Travelers bond #108525095). GMP $22,072,845.45 per final Exhibit D; bond line $326,199.69 invoiced to 11143 Acama LP (LV-2026-ACA-01, 10/6/26); CBI premium $155,409 (invoice #024003). Krueger all cash: 3.25% x GMP less premium = $561,958 (615 Holdings schedule, 10/28/26). Updated 28 Oct 2026.</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</si>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</sst>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8">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4"/>
      <color rgb="FF0B1833"/>
      <name val="Aptos"/>
      <family val="0"/>
      <charset val="1"/>
    </font>
    <font>
      <sz val="10"/>
      <color rgb="FF475569"/>
      <name val="Aptos"/>
      <family val="0"/>
      <charset val="1"/>
    </font>
    <font>
      <i val="true"/>
      <sz val="10"/>
      <color rgb="FF475569"/>
      <name val="Aptos"/>
      <family val="0"/>
      <charset val="1"/>
    </font>
    <font>
      <b val="true"/>
      <sz val="10"/>
      <color rgb="FFFFFFFF"/>
      <name val="Aptos"/>
      <family val="0"/>
      <charset val="1"/>
    </font>
    <font>
      <b val="true"/>
      <sz val="10"/>
      <color rgb="FFA84A15"/>
      <name val="Aptos"/>
      <family val="0"/>
      <charset val="1"/>
    </font>
    <font>
      <sz val="10"/>
      <color rgb="FF1F4E9A"/>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3" borderId="0" xfId="0" applyFont="true" applyBorder="false" applyAlignment="true" applyProtection="false">
      <alignment horizontal="general" vertical="bottom" textRotation="0" wrapText="false" indent="0" shrinkToFit="false"/>
      <protection locked="true" hidden="false"/>
    </xf>
    <xf numFmtId="164" fontId="38"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9" fontId="31" fillId="0" borderId="0" xfId="0" applyFont="true" applyBorder="false" applyAlignment="true" applyProtection="false">
      <alignment horizontal="general" vertical="bottom" textRotation="0" wrapText="false" indent="0" shrinkToFit="false"/>
      <protection locked="true" hidden="false"/>
    </xf>
    <xf numFmtId="169" fontId="3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9" fontId="23"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8" fontId="31" fillId="0" borderId="0" xfId="0" applyFont="true" applyBorder="false" applyAlignment="tru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7" fillId="3" borderId="6" xfId="0" applyFont="true" applyBorder="true" applyAlignment="true" applyProtection="false">
      <alignment horizontal="center" vertical="center" textRotation="0" wrapText="true" indent="0" shrinkToFit="false"/>
      <protection locked="true" hidden="false"/>
    </xf>
    <xf numFmtId="164" fontId="37"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40"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7"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8" fillId="2" borderId="0" xfId="0" applyFont="true" applyBorder="false" applyAlignment="true" applyProtection="false">
      <alignment horizontal="general" vertical="bottom" textRotation="0" wrapText="false" indent="0" shrinkToFit="false"/>
      <protection locked="true" hidden="false"/>
    </xf>
    <xf numFmtId="170" fontId="48" fillId="2" borderId="0" xfId="0" applyFont="true" applyBorder="false" applyAlignment="true" applyProtection="false">
      <alignment horizontal="general" vertical="bottom" textRotation="0" wrapText="false" indent="0" shrinkToFit="false"/>
      <protection locked="true" hidden="false"/>
    </xf>
    <xf numFmtId="165" fontId="40" fillId="2" borderId="0" xfId="0" applyFont="true" applyBorder="false" applyAlignment="true" applyProtection="false">
      <alignment horizontal="general" vertical="bottom" textRotation="0" wrapText="false" indent="0" shrinkToFit="false"/>
      <protection locked="true" hidden="false"/>
    </xf>
    <xf numFmtId="164" fontId="49"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7"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40"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40"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40"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40"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40"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70" fontId="40"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18" borderId="0" xfId="0" applyFont="true" applyBorder="false" applyAlignment="true" applyProtection="false">
      <alignment horizontal="right" vertical="bottom" textRotation="0" wrapText="false" indent="0" shrinkToFit="false"/>
      <protection locked="true" hidden="false"/>
    </xf>
    <xf numFmtId="164" fontId="40"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40"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0" fontId="48"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40"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51" fillId="20" borderId="0" xfId="0" applyFont="true" applyBorder="false" applyAlignment="true" applyProtection="false">
      <alignment horizontal="general" vertical="bottom" textRotation="0" wrapText="false" indent="0" shrinkToFit="false"/>
      <protection locked="true" hidden="false"/>
    </xf>
    <xf numFmtId="170" fontId="51"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51"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51" fillId="24" borderId="0" xfId="0" applyFont="true" applyBorder="false" applyAlignment="true" applyProtection="false">
      <alignment horizontal="general" vertical="bottom" textRotation="0" wrapText="false" indent="0" shrinkToFit="false"/>
      <protection locked="true" hidden="false"/>
    </xf>
    <xf numFmtId="170" fontId="51" fillId="24" borderId="0" xfId="0" applyFont="true" applyBorder="false" applyAlignment="tru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43" fillId="7"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6"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6"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9" fillId="0" borderId="6" xfId="0" applyFont="true" applyBorder="true" applyAlignment="true" applyProtection="false">
      <alignment horizontal="center"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61"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7" fillId="3" borderId="0" xfId="0" applyFont="true" applyBorder="false" applyAlignment="true" applyProtection="false">
      <alignment horizontal="center"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3" fontId="22" fillId="18" borderId="13"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4"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5" fillId="0" borderId="13" xfId="0" applyFont="true" applyBorder="true" applyAlignment="true" applyProtection="false">
      <alignment horizontal="general" vertical="bottom" textRotation="0" wrapText="false" indent="0" shrinkToFit="false"/>
      <protection locked="true" hidden="false"/>
    </xf>
    <xf numFmtId="173" fontId="66"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7"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2"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1F4E9A"/>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6.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7.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8.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0.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30468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Acama, 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342387.7275</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413306.31951925</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423591.630202</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443350.630202</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422699.740202</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407559.090202</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572226.893061588</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625612.433061588</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562749.253061588</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587597.053061588</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475234.213061588</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557046.743061588</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454675.303061588</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510621.433061588</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460569.393061588</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383728.003061588</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329796.753061588</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342401.223061588</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337420.933061588</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427413.615080838</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387950.804225088</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310315.392859588</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306928.452859588</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239580.772859588</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225845.962859588</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233705.282859588</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240230.952859588</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180650.832859588</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158721.382859588</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234646.452996226</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98614.0356680833</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98614.0356680833</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98614.0356680833</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98614.0356680833</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98614.0356680833</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254320.407775583</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0</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0</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0</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0</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0</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0</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0</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0</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0</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0</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0</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0</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259336.1825</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316162.6671994</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324551.2229976</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334137.1229976</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319024.0629976</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308899.6929976</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430274.183351162</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470603.633351162</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423726.363351162</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450372.123351162</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365273.903351162</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431157.053351162</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350001.573351162</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393982.443351162</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353867.543351162</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292574.663351162</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250269.073351162</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260230.643351162</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256294.613351162</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324686.058050562</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297548.371949962</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238848.300353562</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236171.530353562</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182945.280353562</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172090.380353562</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178301.770353562</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183459.140353562</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136371.750353562</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119040.460353562</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175983.987045472</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73960.1683891333</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73960.1683891333</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73960.1683891333</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73960.1683891333</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73960.1683891333</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190739.381635133</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0</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0</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0</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0</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0</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0</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0</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0</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0</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0</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0</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0</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0</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0</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0</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0</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0</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0</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347239.474032717</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431977.127715267</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522674.449669317</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617366.956649817</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713427.980048217</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807921.831419667</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897537.583946667</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978898.092275366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1048736.57527917</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1104029.05313142</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1142369.58567807</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1161992.34528312</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1161992.34528312</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1142369.58567807</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1104029.05313142</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1048736.57527917</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978898.092275366</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897537.583946667</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807921.831419667</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713427.980048217</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617366.956649817</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522674.449669317</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431977.127715267</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214370.877204169</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4094950.85099936</v>
      </c>
      <c r="N57" s="30" t="n">
        <f aca="false">SUM(N13:N56)</f>
        <v>4923945.33304903</v>
      </c>
      <c r="O57" s="30" t="n">
        <f aca="false">SUM(O13:O56)</f>
        <v>4988886.2253878</v>
      </c>
      <c r="P57" s="30" t="n">
        <f aca="false">SUM(P13:P56)</f>
        <v>5471649.5153733</v>
      </c>
      <c r="Q57" s="30" t="n">
        <f aca="false">SUM(Q13:Q56)</f>
        <v>5419200.45510243</v>
      </c>
      <c r="R57" s="30" t="n">
        <f aca="false">SUM(R13:R56)</f>
        <v>5450089.27022729</v>
      </c>
      <c r="S57" s="30" t="n">
        <f aca="false">SUM(S13:S56)</f>
        <v>6601833.4097417</v>
      </c>
      <c r="T57" s="30" t="n">
        <f aca="false">SUM(T13:T56)</f>
        <v>7665355.73741594</v>
      </c>
      <c r="U57" s="30" t="n">
        <f aca="false">SUM(U13:U56)</f>
        <v>7210276.01158481</v>
      </c>
      <c r="V57" s="30" t="n">
        <f aca="false">SUM(V13:V56)</f>
        <v>7887286.71040314</v>
      </c>
      <c r="W57" s="30" t="n">
        <f aca="false">SUM(W13:W56)</f>
        <v>6682807.80728754</v>
      </c>
      <c r="X57" s="30" t="n">
        <f aca="false">SUM(X13:X56)</f>
        <v>7974895.58407616</v>
      </c>
      <c r="Y57" s="30" t="n">
        <f aca="false">SUM(Y13:Y56)</f>
        <v>6758306.15371834</v>
      </c>
      <c r="Z57" s="30" t="n">
        <f aca="false">SUM(Z13:Z56)</f>
        <v>7570634.40307335</v>
      </c>
      <c r="AA57" s="30" t="n">
        <f aca="false">SUM(AA13:AA56)</f>
        <v>6920458.16651624</v>
      </c>
      <c r="AB57" s="30" t="n">
        <f aca="false">SUM(AB13:AB56)</f>
        <v>5861315.87259463</v>
      </c>
      <c r="AC57" s="30" t="n">
        <f aca="false">SUM(AC13:AC56)</f>
        <v>5077405.24782715</v>
      </c>
      <c r="AD57" s="30" t="n">
        <f aca="false">SUM(AD13:AD56)</f>
        <v>5129363.8866817</v>
      </c>
      <c r="AE57" s="30" t="n">
        <f aca="false">SUM(AE13:AE56)</f>
        <v>4916081.23287398</v>
      </c>
      <c r="AF57" s="30" t="n">
        <f aca="false">SUM(AF13:AF56)</f>
        <v>4854781.80161196</v>
      </c>
      <c r="AG57" s="30" t="n">
        <f aca="false">SUM(AG13:AG56)</f>
        <v>5304709.5123653</v>
      </c>
      <c r="AH57" s="30" t="n">
        <f aca="false">SUM(AH13:AH56)</f>
        <v>4955841.08812195</v>
      </c>
      <c r="AI57" s="30" t="n">
        <f aca="false">SUM(AI13:AI56)</f>
        <v>4820658.86122815</v>
      </c>
      <c r="AJ57" s="30" t="n">
        <f aca="false">SUM(AJ13:AJ56)</f>
        <v>3810579.86989945</v>
      </c>
      <c r="AK57" s="30" t="n">
        <f aca="false">SUM(AK13:AK56)</f>
        <v>3480209.20451245</v>
      </c>
      <c r="AL57" s="30" t="n">
        <f aca="false">SUM(AL13:AL56)</f>
        <v>3412568.011221</v>
      </c>
      <c r="AM57" s="30" t="n">
        <f aca="false">SUM(AM13:AM56)</f>
        <v>3310792.1250326</v>
      </c>
      <c r="AN57" s="30" t="n">
        <f aca="false">SUM(AN13:AN56)</f>
        <v>2326286.9867421</v>
      </c>
      <c r="AO57" s="30" t="n">
        <f aca="false">SUM(AO13:AO56)</f>
        <v>1832513.71469805</v>
      </c>
      <c r="AP57" s="30" t="n">
        <f aca="false">SUM(AP13:AP56)</f>
        <v>1494045.18828695</v>
      </c>
      <c r="AQ57" s="30" t="n">
        <f aca="false">SUM(AQ13:AQ56)</f>
        <v>1154783.29265278</v>
      </c>
      <c r="AR57" s="30" t="n">
        <f aca="false">SUM(AR13:AR56)</f>
        <v>1028579.53789278</v>
      </c>
      <c r="AS57" s="30" t="n">
        <f aca="false">SUM(AS13:AS56)</f>
        <v>903552.719152783</v>
      </c>
      <c r="AT57" s="30" t="n">
        <f aca="false">SUM(AT13:AT56)</f>
        <v>781966.174932784</v>
      </c>
      <c r="AU57" s="30" t="n">
        <f aca="false">SUM(AU13:AU56)</f>
        <v>665675.842802783</v>
      </c>
      <c r="AV57" s="30" t="n">
        <f aca="false">SUM(AV13:AV56)</f>
        <v>283780.474359283</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4696674.76099936</v>
      </c>
      <c r="N58" s="30" t="n">
        <f aca="false">N10+N11+N57</f>
        <v>5653414.31976768</v>
      </c>
      <c r="O58" s="30" t="n">
        <f aca="false">O10+O11+O57</f>
        <v>5737029.0785874</v>
      </c>
      <c r="P58" s="30" t="n">
        <f aca="false">P10+P11+P57</f>
        <v>6249137.2685729</v>
      </c>
      <c r="Q58" s="30" t="n">
        <f aca="false">Q10+Q11+Q57</f>
        <v>6160924.25830203</v>
      </c>
      <c r="R58" s="30" t="n">
        <f aca="false">R10+R11+R57</f>
        <v>6166548.05342689</v>
      </c>
      <c r="S58" s="30" t="n">
        <f aca="false">S10+S11+S57</f>
        <v>7604334.48615446</v>
      </c>
      <c r="T58" s="30" t="n">
        <f aca="false">T10+T11+T57</f>
        <v>8761571.80382869</v>
      </c>
      <c r="U58" s="30" t="n">
        <f aca="false">U10+U11+U57</f>
        <v>8196751.62799756</v>
      </c>
      <c r="V58" s="30" t="n">
        <f aca="false">V10+V11+V57</f>
        <v>8925255.88681589</v>
      </c>
      <c r="W58" s="30" t="n">
        <f aca="false">W10+W11+W57</f>
        <v>7523315.92370029</v>
      </c>
      <c r="X58" s="30" t="n">
        <f aca="false">X10+X11+X57</f>
        <v>8963099.38048891</v>
      </c>
      <c r="Y58" s="30" t="n">
        <f aca="false">Y10+Y11+Y57</f>
        <v>7562983.03013109</v>
      </c>
      <c r="Z58" s="30" t="n">
        <f aca="false">Z10+Z11+Z57</f>
        <v>8475238.2794861</v>
      </c>
      <c r="AA58" s="30" t="n">
        <f aca="false">AA10+AA11+AA57</f>
        <v>7734895.10292899</v>
      </c>
      <c r="AB58" s="30" t="n">
        <f aca="false">AB10+AB11+AB57</f>
        <v>6537618.53900738</v>
      </c>
      <c r="AC58" s="30" t="n">
        <f aca="false">AC10+AC11+AC57</f>
        <v>5657471.0742399</v>
      </c>
      <c r="AD58" s="30" t="n">
        <f aca="false">AD10+AD11+AD57</f>
        <v>5731995.75309445</v>
      </c>
      <c r="AE58" s="30" t="n">
        <f aca="false">AE10+AE11+AE57</f>
        <v>5509796.77928673</v>
      </c>
      <c r="AF58" s="30" t="n">
        <f aca="false">AF10+AF11+AF57</f>
        <v>5606881.47474336</v>
      </c>
      <c r="AG58" s="30" t="n">
        <f aca="false">AG10+AG11+AG57</f>
        <v>5990208.68854035</v>
      </c>
      <c r="AH58" s="30" t="n">
        <f aca="false">AH10+AH11+AH57</f>
        <v>5505004.7813351</v>
      </c>
      <c r="AI58" s="30" t="n">
        <f aca="false">AI10+AI11+AI57</f>
        <v>5363758.8444413</v>
      </c>
      <c r="AJ58" s="30" t="n">
        <f aca="false">AJ10+AJ11+AJ57</f>
        <v>4233105.9231126</v>
      </c>
      <c r="AK58" s="30" t="n">
        <f aca="false">AK10+AK11+AK57</f>
        <v>3878145.5477256</v>
      </c>
      <c r="AL58" s="30" t="n">
        <f aca="false">AL10+AL11+AL57</f>
        <v>3824575.06443415</v>
      </c>
      <c r="AM58" s="30" t="n">
        <f aca="false">AM10+AM11+AM57</f>
        <v>3734482.21824575</v>
      </c>
      <c r="AN58" s="30" t="n">
        <f aca="false">AN10+AN11+AN57</f>
        <v>2643309.56995525</v>
      </c>
      <c r="AO58" s="30" t="n">
        <f aca="false">AO10+AO11+AO57</f>
        <v>2110275.5579112</v>
      </c>
      <c r="AP58" s="30" t="n">
        <f aca="false">AP10+AP11+AP57</f>
        <v>1904675.62832865</v>
      </c>
      <c r="AQ58" s="30" t="n">
        <f aca="false">AQ10+AQ11+AQ57</f>
        <v>1327357.49671</v>
      </c>
      <c r="AR58" s="30" t="n">
        <f aca="false">AR10+AR11+AR57</f>
        <v>1201153.74195</v>
      </c>
      <c r="AS58" s="30" t="n">
        <f aca="false">AS10+AS11+AS57</f>
        <v>1076126.92321</v>
      </c>
      <c r="AT58" s="30" t="n">
        <f aca="false">AT10+AT11+AT57</f>
        <v>954540.37899</v>
      </c>
      <c r="AU58" s="30" t="n">
        <f aca="false">AU10+AU11+AU57</f>
        <v>838250.04686</v>
      </c>
      <c r="AV58" s="30" t="n">
        <f aca="false">AV10+AV11+AV57</f>
        <v>728840.26377</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-0</v>
      </c>
      <c r="N68" s="19" t="n">
        <f aca="false">-N21</f>
        <v>-0</v>
      </c>
      <c r="O68" s="19" t="n">
        <f aca="false">-O21</f>
        <v>-0</v>
      </c>
      <c r="P68" s="19" t="n">
        <f aca="false">-P21</f>
        <v>-0</v>
      </c>
      <c r="Q68" s="19" t="n">
        <f aca="false">-Q21</f>
        <v>-0</v>
      </c>
      <c r="R68" s="19" t="n">
        <f aca="false">-R21</f>
        <v>-0</v>
      </c>
      <c r="S68" s="19" t="n">
        <f aca="false">-S21</f>
        <v>-347239.474032717</v>
      </c>
      <c r="T68" s="19" t="n">
        <f aca="false">-T21</f>
        <v>-431977.127715267</v>
      </c>
      <c r="U68" s="19" t="n">
        <f aca="false">-U21</f>
        <v>-522674.449669317</v>
      </c>
      <c r="V68" s="19" t="n">
        <f aca="false">-V21</f>
        <v>-617366.956649817</v>
      </c>
      <c r="W68" s="19" t="n">
        <f aca="false">-W21</f>
        <v>-713427.980048217</v>
      </c>
      <c r="X68" s="19" t="n">
        <f aca="false">-X21</f>
        <v>-807921.831419667</v>
      </c>
      <c r="Y68" s="19" t="n">
        <f aca="false">-Y21</f>
        <v>-897537.583946667</v>
      </c>
      <c r="Z68" s="19" t="n">
        <f aca="false">-Z21</f>
        <v>-978898.092275366</v>
      </c>
      <c r="AA68" s="19" t="n">
        <f aca="false">-AA21</f>
        <v>-1048736.57527917</v>
      </c>
      <c r="AB68" s="19" t="n">
        <f aca="false">-AB21</f>
        <v>-1104029.05313142</v>
      </c>
      <c r="AC68" s="19" t="n">
        <f aca="false">-AC21</f>
        <v>-1142369.58567807</v>
      </c>
      <c r="AD68" s="19" t="n">
        <f aca="false">-AD21</f>
        <v>-1161992.34528312</v>
      </c>
      <c r="AE68" s="19" t="n">
        <f aca="false">-AE21</f>
        <v>-1161992.34528312</v>
      </c>
      <c r="AF68" s="19" t="n">
        <f aca="false">-AF21</f>
        <v>-1142369.58567807</v>
      </c>
      <c r="AG68" s="19" t="n">
        <f aca="false">-AG21</f>
        <v>-1104029.05313142</v>
      </c>
      <c r="AH68" s="19" t="n">
        <f aca="false">-AH21</f>
        <v>-1048736.57527917</v>
      </c>
      <c r="AI68" s="19" t="n">
        <f aca="false">-AI21</f>
        <v>-978898.092275366</v>
      </c>
      <c r="AJ68" s="19" t="n">
        <f aca="false">-AJ21</f>
        <v>-897537.583946667</v>
      </c>
      <c r="AK68" s="19" t="n">
        <f aca="false">-AK21</f>
        <v>-807921.831419667</v>
      </c>
      <c r="AL68" s="19" t="n">
        <f aca="false">-AL21</f>
        <v>-713427.980048217</v>
      </c>
      <c r="AM68" s="19" t="n">
        <f aca="false">-AM21</f>
        <v>-617366.956649817</v>
      </c>
      <c r="AN68" s="19" t="n">
        <f aca="false">-AN21</f>
        <v>-522674.449669317</v>
      </c>
      <c r="AO68" s="19" t="n">
        <f aca="false">-AO21</f>
        <v>-431977.127715267</v>
      </c>
      <c r="AP68" s="19" t="n">
        <f aca="false">-AP21</f>
        <v>-214370.877204169</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-4163540.46099936</v>
      </c>
      <c r="N104" s="30" t="n">
        <f aca="false">SUM(N60:N103)</f>
        <v>-4996341.37304903</v>
      </c>
      <c r="O104" s="30" t="n">
        <f aca="false">SUM(O60:O103)</f>
        <v>-5050706.0953878</v>
      </c>
      <c r="P104" s="30" t="n">
        <f aca="false">SUM(P60:P103)</f>
        <v>-5544285.3853733</v>
      </c>
      <c r="Q104" s="30" t="n">
        <f aca="false">SUM(Q60:Q103)</f>
        <v>-5481531.96510243</v>
      </c>
      <c r="R104" s="30" t="n">
        <f aca="false">SUM(R60:R103)</f>
        <v>-5500507.4202273</v>
      </c>
      <c r="S104" s="30" t="n">
        <f aca="false">SUM(S60:S103)</f>
        <v>-6652512.8197417</v>
      </c>
      <c r="T104" s="30" t="n">
        <f aca="false">SUM(T60:T103)</f>
        <v>-7726398.94741594</v>
      </c>
      <c r="U104" s="30" t="n">
        <f aca="false">SUM(U60:U103)</f>
        <v>-7265422.42158481</v>
      </c>
      <c r="V104" s="30" t="n">
        <f aca="false">SUM(V60:V103)</f>
        <v>-7907651.32040314</v>
      </c>
      <c r="W104" s="30" t="n">
        <f aca="false">SUM(W60:W103)</f>
        <v>-6685134.19728754</v>
      </c>
      <c r="X104" s="30" t="n">
        <f aca="false">SUM(X60:X103)</f>
        <v>-7973856.12407616</v>
      </c>
      <c r="Y104" s="30" t="n">
        <f aca="false">SUM(Y60:Y103)</f>
        <v>-6757655.97371834</v>
      </c>
      <c r="Z104" s="30" t="n">
        <f aca="false">SUM(Z60:Z103)</f>
        <v>-7569739.18307335</v>
      </c>
      <c r="AA104" s="30" t="n">
        <f aca="false">SUM(AA60:AA103)</f>
        <v>-6919744.13651624</v>
      </c>
      <c r="AB104" s="30" t="n">
        <f aca="false">SUM(AB60:AB103)</f>
        <v>-5860872.82259463</v>
      </c>
      <c r="AC104" s="30" t="n">
        <f aca="false">SUM(AC60:AC103)</f>
        <v>-5077131.23782715</v>
      </c>
      <c r="AD104" s="30" t="n">
        <f aca="false">SUM(AD60:AD103)</f>
        <v>-5129039.4066817</v>
      </c>
      <c r="AE104" s="30" t="n">
        <f aca="false">SUM(AE60:AE103)</f>
        <v>-4915776.69287398</v>
      </c>
      <c r="AF104" s="30" t="n">
        <f aca="false">SUM(AF60:AF103)</f>
        <v>-4854405.20161196</v>
      </c>
      <c r="AG104" s="30" t="n">
        <f aca="false">SUM(AG60:AG103)</f>
        <v>-5304055.5123653</v>
      </c>
      <c r="AH104" s="30" t="n">
        <f aca="false">SUM(AH60:AH103)</f>
        <v>-4955234.12812195</v>
      </c>
      <c r="AI104" s="30" t="n">
        <f aca="false">SUM(AI60:AI103)</f>
        <v>-4820065.46122815</v>
      </c>
      <c r="AJ104" s="30" t="n">
        <f aca="false">SUM(AJ60:AJ103)</f>
        <v>-3810256.11989945</v>
      </c>
      <c r="AK104" s="30" t="n">
        <f aca="false">SUM(AK60:AK103)</f>
        <v>-3479940.45451245</v>
      </c>
      <c r="AL104" s="30" t="n">
        <f aca="false">SUM(AL60:AL103)</f>
        <v>-3412267.791221</v>
      </c>
      <c r="AM104" s="30" t="n">
        <f aca="false">SUM(AM60:AM103)</f>
        <v>-3310465.7750326</v>
      </c>
      <c r="AN104" s="30" t="n">
        <f aca="false">SUM(AN60:AN103)</f>
        <v>-2326199.1767421</v>
      </c>
      <c r="AO104" s="30" t="n">
        <f aca="false">SUM(AO60:AO103)</f>
        <v>-1832513.71469805</v>
      </c>
      <c r="AP104" s="30" t="n">
        <f aca="false">SUM(AP60:AP103)</f>
        <v>-1494045.18828695</v>
      </c>
      <c r="AQ104" s="30" t="n">
        <f aca="false">SUM(AQ60:AQ103)</f>
        <v>-1154783.29265278</v>
      </c>
      <c r="AR104" s="30" t="n">
        <f aca="false">SUM(AR60:AR103)</f>
        <v>-1028579.53789278</v>
      </c>
      <c r="AS104" s="30" t="n">
        <f aca="false">SUM(AS60:AS103)</f>
        <v>-903552.719152783</v>
      </c>
      <c r="AT104" s="30" t="n">
        <f aca="false">SUM(AT60:AT103)</f>
        <v>-781966.174932784</v>
      </c>
      <c r="AU104" s="30" t="n">
        <f aca="false">SUM(AU60:AU103)</f>
        <v>-665675.842802783</v>
      </c>
      <c r="AV104" s="30" t="n">
        <f aca="false">SUM(AV60:AV103)</f>
        <v>-283780.474359283</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326199.69</v>
      </c>
      <c r="L114" s="19" t="n">
        <f aca="false">IF(AND('Bonding Program'!$S$19=1,L$3='Bonding Program'!$H$19),'Bonding Program'!$T$19,0)</f>
        <v>0</v>
      </c>
      <c r="M114" s="19" t="n">
        <f aca="false">IF(AND('Bonding Program'!$S$19=1,M$3='Bonding Program'!$H$19),'Bonding Program'!$T$19,0)</f>
        <v>0</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887583.725490196</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326199.69</v>
      </c>
      <c r="L150" s="30" t="n">
        <f aca="false">SUM(L106:L149)</f>
        <v>0</v>
      </c>
      <c r="M150" s="30" t="n">
        <f aca="false">SUM(M106:M149)</f>
        <v>0</v>
      </c>
      <c r="N150" s="30" t="n">
        <f aca="false">SUM(N106:N149)</f>
        <v>0</v>
      </c>
      <c r="O150" s="30" t="n">
        <f aca="false">SUM(O106:O149)</f>
        <v>0</v>
      </c>
      <c r="P150" s="30" t="n">
        <f aca="false">SUM(P106:P149)</f>
        <v>0</v>
      </c>
      <c r="Q150" s="30" t="n">
        <f aca="false">SUM(Q106:Q149)</f>
        <v>0</v>
      </c>
      <c r="R150" s="30" t="n">
        <f aca="false">SUM(R106:R149)</f>
        <v>0</v>
      </c>
      <c r="S150" s="30" t="n">
        <f aca="false">SUM(S106:S149)</f>
        <v>887583.725490196</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-391167.787125</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0</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-583586.299509804</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0</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-391167.787125</v>
      </c>
      <c r="L196" s="30" t="n">
        <f aca="false">SUM(L152:L195)</f>
        <v>0</v>
      </c>
      <c r="M196" s="30" t="n">
        <f aca="false">SUM(M152:M195)</f>
        <v>0</v>
      </c>
      <c r="N196" s="30" t="n">
        <f aca="false">SUM(N152:N195)</f>
        <v>0</v>
      </c>
      <c r="O196" s="30" t="n">
        <f aca="false">SUM(O152:O195)</f>
        <v>0</v>
      </c>
      <c r="P196" s="30" t="n">
        <f aca="false">SUM(P152:P195)</f>
        <v>0</v>
      </c>
      <c r="Q196" s="30" t="n">
        <f aca="false">SUM(Q152:Q195)</f>
        <v>0</v>
      </c>
      <c r="R196" s="30" t="n">
        <f aca="false">SUM(R152:R195)</f>
        <v>0</v>
      </c>
      <c r="S196" s="30" t="n">
        <f aca="false">SUM(S152:S195)</f>
        <v>-583586.299509804</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115458.632875001</v>
      </c>
      <c r="L199" s="32" t="n">
        <f aca="false">L197+L198+L10+L11+L57+L104+L196</f>
        <v>447906.98</v>
      </c>
      <c r="M199" s="32" t="n">
        <f aca="false">M197+M198+M10+M11+M57+M104+M196</f>
        <v>532753.92</v>
      </c>
      <c r="N199" s="32" t="n">
        <f aca="false">N197+N198+N10+N11+N57+N104+N196</f>
        <v>656618.90671865</v>
      </c>
      <c r="O199" s="32" t="n">
        <f aca="false">O197+O198+O10+O11+O57+O104+O196</f>
        <v>685879.923199601</v>
      </c>
      <c r="P199" s="32" t="n">
        <f aca="false">P197+P198+P10+P11+P57+P104+P196</f>
        <v>704354.5431996</v>
      </c>
      <c r="Q199" s="32" t="n">
        <f aca="false">Q197+Q198+Q10+Q11+Q57+Q104+Q196</f>
        <v>678911.2431996</v>
      </c>
      <c r="R199" s="32" t="n">
        <f aca="false">R197+R198+R10+R11+R57+R104+R196</f>
        <v>665516.533199597</v>
      </c>
      <c r="S199" s="32" t="n">
        <f aca="false">S197+S198+S10+S11+S57+S104+S196</f>
        <v>367726.476902949</v>
      </c>
      <c r="T199" s="32" t="n">
        <f aca="false">T197+T198+T10+T11+T57+T104+T196</f>
        <v>1034525.45641275</v>
      </c>
      <c r="U199" s="32" t="n">
        <f aca="false">U197+U198+U10+U11+U57+U104+U196</f>
        <v>930823.396412751</v>
      </c>
      <c r="V199" s="32" t="n">
        <f aca="false">V197+V198+V10+V11+V57+V104+V196</f>
        <v>1016694.66641275</v>
      </c>
      <c r="W199" s="32" t="n">
        <f aca="false">W197+W198+W10+W11+W57+W104+W196</f>
        <v>837539.836412748</v>
      </c>
      <c r="X199" s="32" t="n">
        <f aca="false">X197+X198+X10+X11+X57+X104+X196</f>
        <v>988203.796412751</v>
      </c>
      <c r="Y199" s="32" t="n">
        <f aca="false">Y197+Y198+Y10+Y11+Y57+Y104+Y196</f>
        <v>804676.87641275</v>
      </c>
      <c r="Z199" s="32" t="n">
        <f aca="false">Z197+Z198+Z10+Z11+Z57+Z104+Z196</f>
        <v>904603.87641275</v>
      </c>
      <c r="AA199" s="32" t="n">
        <f aca="false">AA197+AA198+AA10+AA11+AA57+AA104+AA196</f>
        <v>814436.936412748</v>
      </c>
      <c r="AB199" s="32" t="n">
        <f aca="false">AB197+AB198+AB10+AB11+AB57+AB104+AB196</f>
        <v>676302.666412749</v>
      </c>
      <c r="AC199" s="32" t="n">
        <f aca="false">AC197+AC198+AC10+AC11+AC57+AC104+AC196</f>
        <v>580065.826412753</v>
      </c>
      <c r="AD199" s="32" t="n">
        <f aca="false">AD197+AD198+AD10+AD11+AD57+AD104+AD196</f>
        <v>602631.86641275</v>
      </c>
      <c r="AE199" s="32" t="n">
        <f aca="false">AE197+AE198+AE10+AE11+AE57+AE104+AE196</f>
        <v>593715.546412747</v>
      </c>
      <c r="AF199" s="32" t="n">
        <f aca="false">AF197+AF198+AF10+AF11+AF57+AF104+AF196</f>
        <v>752099.673131402</v>
      </c>
      <c r="AG199" s="32" t="n">
        <f aca="false">AG197+AG198+AG10+AG11+AG57+AG104+AG196</f>
        <v>685499.17617505</v>
      </c>
      <c r="AH199" s="32" t="n">
        <f aca="false">AH197+AH198+AH10+AH11+AH57+AH104+AH196</f>
        <v>549163.693213149</v>
      </c>
      <c r="AI199" s="32" t="n">
        <f aca="false">AI197+AI198+AI10+AI11+AI57+AI104+AI196</f>
        <v>543099.983213155</v>
      </c>
      <c r="AJ199" s="32" t="n">
        <f aca="false">AJ197+AJ198+AJ10+AJ11+AJ57+AJ104+AJ196</f>
        <v>422526.053213147</v>
      </c>
      <c r="AK199" s="32" t="n">
        <f aca="false">AK197+AK198+AK10+AK11+AK57+AK104+AK196</f>
        <v>397936.34321315</v>
      </c>
      <c r="AL199" s="32" t="n">
        <f aca="false">AL197+AL198+AL10+AL11+AL57+AL104+AL196</f>
        <v>412007.053213151</v>
      </c>
      <c r="AM199" s="32" t="n">
        <f aca="false">AM197+AM198+AM10+AM11+AM57+AM104+AM196</f>
        <v>423690.093213149</v>
      </c>
      <c r="AN199" s="32" t="n">
        <f aca="false">AN197+AN198+AN10+AN11+AN57+AN104+AN196</f>
        <v>317022.583213148</v>
      </c>
      <c r="AO199" s="32" t="n">
        <f aca="false">AO197+AO198+AO10+AO11+AO57+AO104+AO196</f>
        <v>277761.84321315</v>
      </c>
      <c r="AP199" s="32" t="n">
        <f aca="false">AP197+AP198+AP10+AP11+AP57+AP104+AP196</f>
        <v>410630.440041698</v>
      </c>
      <c r="AQ199" s="32" t="n">
        <f aca="false">AQ197+AQ198+AQ10+AQ11+AQ57+AQ104+AQ196</f>
        <v>172574.204057217</v>
      </c>
      <c r="AR199" s="32" t="n">
        <f aca="false">AR197+AR198+AR10+AR11+AR57+AR104+AR196</f>
        <v>172574.204057217</v>
      </c>
      <c r="AS199" s="32" t="n">
        <f aca="false">AS197+AS198+AS10+AS11+AS57+AS104+AS196</f>
        <v>172574.204057217</v>
      </c>
      <c r="AT199" s="32" t="n">
        <f aca="false">AT197+AT198+AT10+AT11+AT57+AT104+AT196</f>
        <v>172574.204057217</v>
      </c>
      <c r="AU199" s="32" t="n">
        <f aca="false">AU197+AU198+AU10+AU11+AU57+AU104+AU196</f>
        <v>172574.204057217</v>
      </c>
      <c r="AV199" s="32" t="n">
        <f aca="false">AV197+AV198+AV10+AV11+AV57+AV104+AV196</f>
        <v>445059.789410717</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0.0196895443369562</v>
      </c>
      <c r="L200" s="33" t="n">
        <f aca="false">IFERROR(L199/L58,0)</f>
        <v>0.0946991097589387</v>
      </c>
      <c r="M200" s="33" t="n">
        <f aca="false">IFERROR(M199/M58,0)</f>
        <v>0.113432150853605</v>
      </c>
      <c r="N200" s="33" t="n">
        <f aca="false">IFERROR(N199/N58,0)</f>
        <v>0.116145548438352</v>
      </c>
      <c r="O200" s="33" t="n">
        <f aca="false">IFERROR(O199/O58,0)</f>
        <v>0.119553154394762</v>
      </c>
      <c r="P200" s="33" t="n">
        <f aca="false">IFERROR(P199/P58,0)</f>
        <v>0.112712285380867</v>
      </c>
      <c r="Q200" s="33" t="n">
        <f aca="false">IFERROR(Q199/Q58,0)</f>
        <v>0.110196330085498</v>
      </c>
      <c r="R200" s="33" t="n">
        <f aca="false">IFERROR(R199/R58,0)</f>
        <v>0.107923675844828</v>
      </c>
      <c r="S200" s="33" t="n">
        <f aca="false">IFERROR(S199/S58,0)</f>
        <v>0.0483574831660133</v>
      </c>
      <c r="T200" s="33" t="n">
        <f aca="false">IFERROR(T199/T58,0)</f>
        <v>0.11807532707324</v>
      </c>
      <c r="U200" s="33" t="n">
        <f aca="false">IFERROR(U199/U58,0)</f>
        <v>0.113560034347429</v>
      </c>
      <c r="V200" s="33" t="n">
        <f aca="false">IFERROR(V199/V58,0)</f>
        <v>0.11391210283557</v>
      </c>
      <c r="W200" s="33" t="n">
        <f aca="false">IFERROR(W199/W58,0)</f>
        <v>0.111325889395963</v>
      </c>
      <c r="X200" s="33" t="n">
        <f aca="false">IFERROR(X199/X58,0)</f>
        <v>0.110252464517341</v>
      </c>
      <c r="Y200" s="33" t="n">
        <f aca="false">IFERROR(Y199/Y58,0)</f>
        <v>0.106396758158375</v>
      </c>
      <c r="Z200" s="33" t="n">
        <f aca="false">IFERROR(Z199/Z58,0)</f>
        <v>0.106734919607193</v>
      </c>
      <c r="AA200" s="33" t="n">
        <f aca="false">IFERROR(AA199/AA58,0)</f>
        <v>0.105293856681307</v>
      </c>
      <c r="AB200" s="33" t="n">
        <f aca="false">IFERROR(AB199/AB58,0)</f>
        <v>0.10344786291484</v>
      </c>
      <c r="AC200" s="33" t="n">
        <f aca="false">IFERROR(AC199/AC58,0)</f>
        <v>0.102530939849425</v>
      </c>
      <c r="AD200" s="33" t="n">
        <f aca="false">IFERROR(AD199/AD58,0)</f>
        <v>0.105134737074328</v>
      </c>
      <c r="AE200" s="33" t="n">
        <f aca="false">IFERROR(AE199/AE58,0)</f>
        <v>0.107756342056886</v>
      </c>
      <c r="AF200" s="33" t="n">
        <f aca="false">IFERROR(AF199/AF58,0)</f>
        <v>0.134138678785934</v>
      </c>
      <c r="AG200" s="33" t="n">
        <f aca="false">IFERROR(AG199/AG58,0)</f>
        <v>0.114436610111172</v>
      </c>
      <c r="AH200" s="33" t="n">
        <f aca="false">IFERROR(AH199/AH58,0)</f>
        <v>0.0997571691627057</v>
      </c>
      <c r="AI200" s="33" t="n">
        <f aca="false">IFERROR(AI199/AI58,0)</f>
        <v>0.101253616906359</v>
      </c>
      <c r="AJ200" s="33" t="n">
        <f aca="false">IFERROR(AJ199/AJ58,0)</f>
        <v>0.0998146658476392</v>
      </c>
      <c r="AK200" s="33" t="n">
        <f aca="false">IFERROR(AK199/AK58,0)</f>
        <v>0.102609955793569</v>
      </c>
      <c r="AL200" s="33" t="n">
        <f aca="false">IFERROR(AL199/AL58,0)</f>
        <v>0.107726230044359</v>
      </c>
      <c r="AM200" s="33" t="n">
        <f aca="false">IFERROR(AM199/AM58,0)</f>
        <v>0.11345350398058</v>
      </c>
      <c r="AN200" s="33" t="n">
        <f aca="false">IFERROR(AN199/AN58,0)</f>
        <v>0.119933959615073</v>
      </c>
      <c r="AO200" s="33" t="n">
        <f aca="false">IFERROR(AO199/AO58,0)</f>
        <v>0.131623494463484</v>
      </c>
      <c r="AP200" s="33" t="n">
        <f aca="false">IFERROR(AP199/AP58,0)</f>
        <v>0.215590746232221</v>
      </c>
      <c r="AQ200" s="33" t="n">
        <f aca="false">IFERROR(AQ199/AQ58,0)</f>
        <v>0.130013356978026</v>
      </c>
      <c r="AR200" s="33" t="n">
        <f aca="false">IFERROR(AR199/AR58,0)</f>
        <v>0.143673701400666</v>
      </c>
      <c r="AS200" s="33" t="n">
        <f aca="false">IFERROR(AS199/AS58,0)</f>
        <v>0.160366031492309</v>
      </c>
      <c r="AT200" s="33" t="n">
        <f aca="false">IFERROR(AT199/AT58,0)</f>
        <v>0.180792984619276</v>
      </c>
      <c r="AU200" s="33" t="n">
        <f aca="false">IFERROR(AU199/AU58,0)</f>
        <v>0.205874374482486</v>
      </c>
      <c r="AV200" s="33" t="n">
        <f aca="false">IFERROR(AV199/AV58,0)</f>
        <v>0.610641057491253</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IF(K$3=9,Assumptions!$B$151,0)-IF(AND(K$3&gt;=21,MOD(K$3-21,12)=0),Assumptions!$B$152,0),Actuals!L21)</f>
        <v>-267964.333333333</v>
      </c>
      <c r="L203" s="13" t="n">
        <f aca="false">IF(ISBLANK(Actuals!M21),((-(SUMPRODUCT((Personnel!$O$9:$O$100="GC")*(Personnel!$G$9:$G$100="Yes")*(8&gt;=Personnel!$E$9:$E$100)*((Personnel!$K$9:$K$100="")+(8&lt;=Personnel!$K$9:$K$100)&gt;0)*Personnel!$D$9:$D$100*(1-Personnel!$H$9:$H$100))+Staffing!L81))*Escalation!$B$9)-IF(L$3=9,Assumptions!$B$151,0)-IF(AND(L$3&gt;=21,MOD(L$3-21,12)=0),Assumptions!$B$152,0),Actuals!M21)</f>
        <v>-267964.333333333</v>
      </c>
      <c r="M203" s="13" t="n">
        <f aca="false">IF(ISBLANK(Actuals!N21),((-(SUMPRODUCT((Personnel!$O$9:$O$100="GC")*(Personnel!$G$9:$G$100="Yes")*(9&gt;=Personnel!$E$9:$E$100)*((Personnel!$K$9:$K$100="")+(9&lt;=Personnel!$K$9:$K$100)&gt;0)*Personnel!$D$9:$D$100*(1-Personnel!$H$9:$H$100))+Staffing!M81))*Escalation!$B$10)-IF(M$3=9,Assumptions!$B$151,0)-IF(AND(M$3&gt;=21,MOD(M$3-21,12)=0),Assumptions!$B$152,0),Actuals!N21)</f>
        <v>-356297.666666667</v>
      </c>
      <c r="N203" s="13" t="n">
        <f aca="false">IF(ISBLANK(Actuals!O21),((-(SUMPRODUCT((Personnel!$O$9:$O$100="GC")*(Personnel!$G$9:$G$100="Yes")*(10&gt;=Personnel!$E$9:$E$100)*((Personnel!$K$9:$K$100="")+(10&lt;=Personnel!$K$9:$K$100)&gt;0)*Personnel!$D$9:$D$100*(1-Personnel!$H$9:$H$100))+Staffing!N81))*Escalation!$B$11)-IF(N$3=9,Assumptions!$B$151,0)-IF(AND(N$3&gt;=21,MOD(N$3-21,12)=0),Assumptions!$B$152,0),Actuals!O21)</f>
        <v>-270881</v>
      </c>
      <c r="O203" s="13" t="n">
        <f aca="false">IF(ISBLANK(Actuals!P21),((-(SUMPRODUCT((Personnel!$O$9:$O$100="GC")*(Personnel!$G$9:$G$100="Yes")*(11&gt;=Personnel!$E$9:$E$100)*((Personnel!$K$9:$K$100="")+(11&lt;=Personnel!$K$9:$K$100)&gt;0)*Personnel!$D$9:$D$100*(1-Personnel!$H$9:$H$100))+Staffing!O81))*Escalation!$B$12)-IF(O$3=9,Assumptions!$B$151,0)-IF(AND(O$3&gt;=21,MOD(O$3-21,12)=0),Assumptions!$B$152,0),Actuals!P21)</f>
        <v>-281297.666666667</v>
      </c>
      <c r="P203" s="13" t="n">
        <f aca="false">IF(ISBLANK(Actuals!Q21),((-(SUMPRODUCT((Personnel!$O$9:$O$100="GC")*(Personnel!$G$9:$G$100="Yes")*(12&gt;=Personnel!$E$9:$E$100)*((Personnel!$K$9:$K$100="")+(12&lt;=Personnel!$K$9:$K$100)&gt;0)*Personnel!$D$9:$D$100*(1-Personnel!$H$9:$H$100))+Staffing!P81))*Escalation!$B$13)-IF(P$3=9,Assumptions!$B$151,0)-IF(AND(P$3&gt;=21,MOD(P$3-21,12)=0),Assumptions!$B$152,0),Actuals!Q21)</f>
        <v>-281297.666666667</v>
      </c>
      <c r="Q203" s="13" t="n">
        <f aca="false">IF(ISBLANK(Actuals!R21),((-(SUMPRODUCT((Personnel!$O$9:$O$100="GC")*(Personnel!$G$9:$G$100="Yes")*(13&gt;=Personnel!$E$9:$E$100)*((Personnel!$K$9:$K$100="")+(13&lt;=Personnel!$K$9:$K$100)&gt;0)*Personnel!$D$9:$D$100*(1-Personnel!$H$9:$H$100))+Staffing!Q81))*Escalation!$B$14)-IF(Q$3=9,Assumptions!$B$151,0)-IF(AND(Q$3&gt;=21,MOD(Q$3-21,12)=0),Assumptions!$B$152,0),Actuals!R21)</f>
        <v>-281297.666666667</v>
      </c>
      <c r="R203" s="13" t="n">
        <f aca="false">IF(ISBLANK(Actuals!S21),((-(SUMPRODUCT((Personnel!$O$9:$O$100="GC")*(Personnel!$G$9:$G$100="Yes")*(14&gt;=Personnel!$E$9:$E$100)*((Personnel!$K$9:$K$100="")+(14&lt;=Personnel!$K$9:$K$100)&gt;0)*Personnel!$D$9:$D$100*(1-Personnel!$H$9:$H$100))+Staffing!R81))*Escalation!$B$15)-IF(R$3=9,Assumptions!$B$151,0)-IF(AND(R$3&gt;=21,MOD(R$3-21,12)=0),Assumptions!$B$152,0),Actuals!S21)</f>
        <v>-281297.666666667</v>
      </c>
      <c r="S203" s="13" t="n">
        <f aca="false">IF(ISBLANK(Actuals!T21),((-(SUMPRODUCT((Personnel!$O$9:$O$100="GC")*(Personnel!$G$9:$G$100="Yes")*(15&gt;=Personnel!$E$9:$E$100)*((Personnel!$K$9:$K$100="")+(15&lt;=Personnel!$K$9:$K$100)&gt;0)*Personnel!$D$9:$D$100*(1-Personnel!$H$9:$H$100))+Staffing!S81))*Escalation!$B$16)-IF(S$3=9,Assumptions!$B$151,0)-IF(AND(S$3&gt;=21,MOD(S$3-21,12)=0),Assumptions!$B$152,0),Actuals!T21)</f>
        <v>-329214.333333333</v>
      </c>
      <c r="T203" s="13" t="n">
        <f aca="false">IF(ISBLANK(Actuals!U21),((-(SUMPRODUCT((Personnel!$O$9:$O$100="GC")*(Personnel!$G$9:$G$100="Yes")*(16&gt;=Personnel!$E$9:$E$100)*((Personnel!$K$9:$K$100="")+(16&lt;=Personnel!$K$9:$K$100)&gt;0)*Personnel!$D$9:$D$100*(1-Personnel!$H$9:$H$100))+Staffing!T81))*Escalation!$B$17)-IF(T$3=9,Assumptions!$B$151,0)-IF(AND(T$3&gt;=21,MOD(T$3-21,12)=0),Assumptions!$B$152,0),Actuals!U21)</f>
        <v>-329214.333333333</v>
      </c>
      <c r="U203" s="13" t="n">
        <f aca="false">IF(ISBLANK(Actuals!V21),((-(SUMPRODUCT((Personnel!$O$9:$O$100="GC")*(Personnel!$G$9:$G$100="Yes")*(17&gt;=Personnel!$E$9:$E$100)*((Personnel!$K$9:$K$100="")+(17&lt;=Personnel!$K$9:$K$100)&gt;0)*Personnel!$D$9:$D$100*(1-Personnel!$H$9:$H$100))+Staffing!U81))*Escalation!$B$18)-IF(U$3=9,Assumptions!$B$151,0)-IF(AND(U$3&gt;=21,MOD(U$3-21,12)=0),Assumptions!$B$152,0),Actuals!V21)</f>
        <v>-329214.333333333</v>
      </c>
      <c r="V203" s="13" t="n">
        <f aca="false">IF(ISBLANK(Actuals!W21),((-(SUMPRODUCT((Personnel!$O$9:$O$100="GC")*(Personnel!$G$9:$G$100="Yes")*(18&gt;=Personnel!$E$9:$E$100)*((Personnel!$K$9:$K$100="")+(18&lt;=Personnel!$K$9:$K$100)&gt;0)*Personnel!$D$9:$D$100*(1-Personnel!$H$9:$H$100))+Staffing!V81))*Escalation!$B$19)-IF(V$3=9,Assumptions!$B$151,0)-IF(AND(V$3&gt;=21,MOD(V$3-21,12)=0),Assumptions!$B$152,0),Actuals!W21)</f>
        <v>-329214.333333333</v>
      </c>
      <c r="W203" s="13" t="n">
        <f aca="false">IF(ISBLANK(Actuals!X21),((-(SUMPRODUCT((Personnel!$O$9:$O$100="GC")*(Personnel!$G$9:$G$100="Yes")*(19&gt;=Personnel!$E$9:$E$100)*((Personnel!$K$9:$K$100="")+(19&lt;=Personnel!$K$9:$K$100)&gt;0)*Personnel!$D$9:$D$100*(1-Personnel!$H$9:$H$100))+Staffing!W81))*Escalation!$B$20)-IF(W$3=9,Assumptions!$B$151,0)-IF(AND(W$3&gt;=21,MOD(W$3-21,12)=0),Assumptions!$B$152,0),Actuals!X21)</f>
        <v>-329214.333333333</v>
      </c>
      <c r="X203" s="13" t="n">
        <f aca="false">IF(ISBLANK(Actuals!Y21),((-(SUMPRODUCT((Personnel!$O$9:$O$100="GC")*(Personnel!$G$9:$G$100="Yes")*(20&gt;=Personnel!$E$9:$E$100)*((Personnel!$K$9:$K$100="")+(20&lt;=Personnel!$K$9:$K$100)&gt;0)*Personnel!$D$9:$D$100*(1-Personnel!$H$9:$H$100))+Staffing!X81))*Escalation!$B$21)-IF(X$3=9,Assumptions!$B$151,0)-IF(AND(X$3&gt;=21,MOD(X$3-21,12)=0),Assumptions!$B$152,0),Actuals!Y21)</f>
        <v>-329214.333333333</v>
      </c>
      <c r="Y203" s="13" t="n">
        <f aca="false">IF(ISBLANK(Actuals!Z21),((-(SUMPRODUCT((Personnel!$O$9:$O$100="GC")*(Personnel!$G$9:$G$100="Yes")*(21&gt;=Personnel!$E$9:$E$100)*((Personnel!$K$9:$K$100="")+(21&lt;=Personnel!$K$9:$K$100)&gt;0)*Personnel!$D$9:$D$100*(1-Personnel!$H$9:$H$100))+Staffing!Y81))*Escalation!$B$22)-IF(Y$3=9,Assumptions!$B$151,0)-IF(AND(Y$3&gt;=21,MOD(Y$3-21,12)=0),Assumptions!$B$152,0),Actuals!Z21)</f>
        <v>-529214.333333333</v>
      </c>
      <c r="Z203" s="13" t="n">
        <f aca="false">IF(ISBLANK(Actuals!AA21),((-(SUMPRODUCT((Personnel!$O$9:$O$100="GC")*(Personnel!$G$9:$G$100="Yes")*(22&gt;=Personnel!$E$9:$E$100)*((Personnel!$K$9:$K$100="")+(22&lt;=Personnel!$K$9:$K$100)&gt;0)*Personnel!$D$9:$D$100*(1-Personnel!$H$9:$H$100))+Staffing!Z81))*Escalation!$B$23)-IF(Z$3=9,Assumptions!$B$151,0)-IF(AND(Z$3&gt;=21,MOD(Z$3-21,12)=0),Assumptions!$B$152,0),Actuals!AA21)</f>
        <v>-311148.62</v>
      </c>
      <c r="AA203" s="13" t="n">
        <f aca="false">IF(ISBLANK(Actuals!AB21),((-(SUMPRODUCT((Personnel!$O$9:$O$100="GC")*(Personnel!$G$9:$G$100="Yes")*(23&gt;=Personnel!$E$9:$E$100)*((Personnel!$K$9:$K$100="")+(23&lt;=Personnel!$K$9:$K$100)&gt;0)*Personnel!$D$9:$D$100*(1-Personnel!$H$9:$H$100))+Staffing!AA81))*Escalation!$B$24)-IF(AA$3=9,Assumptions!$B$151,0)-IF(AND(AA$3&gt;=21,MOD(AA$3-21,12)=0),Assumptions!$B$152,0),Actuals!AB21)</f>
        <v>-311148.62</v>
      </c>
      <c r="AB203" s="13" t="n">
        <f aca="false">IF(ISBLANK(Actuals!AC21),((-(SUMPRODUCT((Personnel!$O$9:$O$100="GC")*(Personnel!$G$9:$G$100="Yes")*(24&gt;=Personnel!$E$9:$E$100)*((Personnel!$K$9:$K$100="")+(24&lt;=Personnel!$K$9:$K$100)&gt;0)*Personnel!$D$9:$D$100*(1-Personnel!$H$9:$H$100))+Staffing!AB81))*Escalation!$B$25)-IF(AB$3=9,Assumptions!$B$151,0)-IF(AND(AB$3&gt;=21,MOD(AB$3-21,12)=0),Assumptions!$B$152,0),Actuals!AC21)</f>
        <v>-286923.62</v>
      </c>
      <c r="AC203" s="13" t="n">
        <f aca="false">IF(ISBLANK(Actuals!AD21),((-(SUMPRODUCT((Personnel!$O$9:$O$100="GC")*(Personnel!$G$9:$G$100="Yes")*(25&gt;=Personnel!$E$9:$E$100)*((Personnel!$K$9:$K$100="")+(25&lt;=Personnel!$K$9:$K$100)&gt;0)*Personnel!$D$9:$D$100*(1-Personnel!$H$9:$H$100))+Staffing!AC81))*Escalation!$B$26)-IF(AC$3=9,Assumptions!$B$151,0)-IF(AND(AC$3&gt;=21,MOD(AC$3-21,12)=0),Assumptions!$B$152,0),Actuals!AD21)</f>
        <v>-286923.62</v>
      </c>
      <c r="AD203" s="13" t="n">
        <f aca="false">IF(ISBLANK(Actuals!AE21),((-(SUMPRODUCT((Personnel!$O$9:$O$100="GC")*(Personnel!$G$9:$G$100="Yes")*(26&gt;=Personnel!$E$9:$E$100)*((Personnel!$K$9:$K$100="")+(26&lt;=Personnel!$K$9:$K$100)&gt;0)*Personnel!$D$9:$D$100*(1-Personnel!$H$9:$H$100))+Staffing!AD81))*Escalation!$B$27)-IF(AD$3=9,Assumptions!$B$151,0)-IF(AND(AD$3&gt;=21,MOD(AD$3-21,12)=0),Assumptions!$B$152,0),Actuals!AE21)</f>
        <v>-262698.62</v>
      </c>
      <c r="AE203" s="13" t="n">
        <f aca="false">IF(ISBLANK(Actuals!AF21),((-(SUMPRODUCT((Personnel!$O$9:$O$100="GC")*(Personnel!$G$9:$G$100="Yes")*(27&gt;=Personnel!$E$9:$E$100)*((Personnel!$K$9:$K$100="")+(27&lt;=Personnel!$K$9:$K$100)&gt;0)*Personnel!$D$9:$D$100*(1-Personnel!$H$9:$H$100))+Staffing!AE81))*Escalation!$B$28)-IF(AE$3=9,Assumptions!$B$151,0)-IF(AND(AE$3&gt;=21,MOD(AE$3-21,12)=0),Assumptions!$B$152,0),Actuals!AF21)</f>
        <v>-262698.62</v>
      </c>
      <c r="AF203" s="13" t="n">
        <f aca="false">IF(ISBLANK(Actuals!AG21),((-(SUMPRODUCT((Personnel!$O$9:$O$100="GC")*(Personnel!$G$9:$G$100="Yes")*(28&gt;=Personnel!$E$9:$E$100)*((Personnel!$K$9:$K$100="")+(28&lt;=Personnel!$K$9:$K$100)&gt;0)*Personnel!$D$9:$D$100*(1-Personnel!$H$9:$H$100))+Staffing!AF81))*Escalation!$B$29)-IF(AF$3=9,Assumptions!$B$151,0)-IF(AND(AF$3&gt;=21,MOD(AF$3-21,12)=0),Assumptions!$B$152,0),Actuals!AG21)</f>
        <v>-262698.62</v>
      </c>
      <c r="AG203" s="13" t="n">
        <f aca="false">IF(ISBLANK(Actuals!AH21),((-(SUMPRODUCT((Personnel!$O$9:$O$100="GC")*(Personnel!$G$9:$G$100="Yes")*(29&gt;=Personnel!$E$9:$E$100)*((Personnel!$K$9:$K$100="")+(29&lt;=Personnel!$K$9:$K$100)&gt;0)*Personnel!$D$9:$D$100*(1-Personnel!$H$9:$H$100))+Staffing!AG81))*Escalation!$B$30)-IF(AG$3=9,Assumptions!$B$151,0)-IF(AND(AG$3&gt;=21,MOD(AG$3-21,12)=0),Assumptions!$B$152,0),Actuals!AH21)</f>
        <v>-262698.62</v>
      </c>
      <c r="AH203" s="13" t="n">
        <f aca="false">IF(ISBLANK(Actuals!AI21),((-(SUMPRODUCT((Personnel!$O$9:$O$100="GC")*(Personnel!$G$9:$G$100="Yes")*(30&gt;=Personnel!$E$9:$E$100)*((Personnel!$K$9:$K$100="")+(30&lt;=Personnel!$K$9:$K$100)&gt;0)*Personnel!$D$9:$D$100*(1-Personnel!$H$9:$H$100))+Staffing!AH81))*Escalation!$B$31)-IF(AH$3=9,Assumptions!$B$151,0)-IF(AND(AH$3&gt;=21,MOD(AH$3-21,12)=0),Assumptions!$B$152,0),Actuals!AI21)</f>
        <v>-262698.62</v>
      </c>
      <c r="AI203" s="13" t="n">
        <f aca="false">IF(ISBLANK(Actuals!AJ21),((-(SUMPRODUCT((Personnel!$O$9:$O$100="GC")*(Personnel!$G$9:$G$100="Yes")*(31&gt;=Personnel!$E$9:$E$100)*((Personnel!$K$9:$K$100="")+(31&lt;=Personnel!$K$9:$K$100)&gt;0)*Personnel!$D$9:$D$100*(1-Personnel!$H$9:$H$100))+Staffing!AI81))*Escalation!$B$32)-IF(AI$3=9,Assumptions!$B$151,0)-IF(AND(AI$3&gt;=21,MOD(AI$3-21,12)=0),Assumptions!$B$152,0),Actuals!AJ21)</f>
        <v>-262698.62</v>
      </c>
      <c r="AJ203" s="13" t="n">
        <f aca="false">IF(ISBLANK(Actuals!AK21),((-(SUMPRODUCT((Personnel!$O$9:$O$100="GC")*(Personnel!$G$9:$G$100="Yes")*(32&gt;=Personnel!$E$9:$E$100)*((Personnel!$K$9:$K$100="")+(32&lt;=Personnel!$K$9:$K$100)&gt;0)*Personnel!$D$9:$D$100*(1-Personnel!$H$9:$H$100))+Staffing!AJ81))*Escalation!$B$33)-IF(AJ$3=9,Assumptions!$B$151,0)-IF(AND(AJ$3&gt;=21,MOD(AJ$3-21,12)=0),Assumptions!$B$152,0),Actuals!AK21)</f>
        <v>-262698.62</v>
      </c>
      <c r="AK203" s="13" t="n">
        <f aca="false">IF(ISBLANK(Actuals!AL21),((-(SUMPRODUCT((Personnel!$O$9:$O$100="GC")*(Personnel!$G$9:$G$100="Yes")*(33&gt;=Personnel!$E$9:$E$100)*((Personnel!$K$9:$K$100="")+(33&lt;=Personnel!$K$9:$K$100)&gt;0)*Personnel!$D$9:$D$100*(1-Personnel!$H$9:$H$100))+Staffing!AK81))*Escalation!$B$34)-IF(AK$3=9,Assumptions!$B$151,0)-IF(AND(AK$3&gt;=21,MOD(AK$3-21,12)=0),Assumptions!$B$152,0),Actuals!AL21)</f>
        <v>-462698.62</v>
      </c>
      <c r="AL203" s="13" t="n">
        <f aca="false">IF(ISBLANK(Actuals!AM21),((-(SUMPRODUCT((Personnel!$O$9:$O$100="GC")*(Personnel!$G$9:$G$100="Yes")*(34&gt;=Personnel!$E$9:$E$100)*((Personnel!$K$9:$K$100="")+(34&lt;=Personnel!$K$9:$K$100)&gt;0)*Personnel!$D$9:$D$100*(1-Personnel!$H$9:$H$100))+Staffing!AL81))*Escalation!$B$35)-IF(AL$3=9,Assumptions!$B$151,0)-IF(AND(AL$3&gt;=21,MOD(AL$3-21,12)=0),Assumptions!$B$152,0),Actuals!AM21)</f>
        <v>-267952.5924</v>
      </c>
      <c r="AM203" s="13" t="n">
        <f aca="false">IF(ISBLANK(Actuals!AN21),((-(SUMPRODUCT((Personnel!$O$9:$O$100="GC")*(Personnel!$G$9:$G$100="Yes")*(35&gt;=Personnel!$E$9:$E$100)*((Personnel!$K$9:$K$100="")+(35&lt;=Personnel!$K$9:$K$100)&gt;0)*Personnel!$D$9:$D$100*(1-Personnel!$H$9:$H$100))+Staffing!AM81))*Escalation!$B$36)-IF(AM$3=9,Assumptions!$B$151,0)-IF(AND(AM$3&gt;=21,MOD(AM$3-21,12)=0),Assumptions!$B$152,0),Actuals!AN21)</f>
        <v>-267952.5924</v>
      </c>
      <c r="AN203" s="13" t="n">
        <f aca="false">IF(ISBLANK(Actuals!AO21),((-(SUMPRODUCT((Personnel!$O$9:$O$100="GC")*(Personnel!$G$9:$G$100="Yes")*(36&gt;=Personnel!$E$9:$E$100)*((Personnel!$K$9:$K$100="")+(36&lt;=Personnel!$K$9:$K$100)&gt;0)*Personnel!$D$9:$D$100*(1-Personnel!$H$9:$H$100))+Staffing!AN81))*Escalation!$B$37)-IF(AN$3=9,Assumptions!$B$151,0)-IF(AND(AN$3&gt;=21,MOD(AN$3-21,12)=0),Assumptions!$B$152,0),Actuals!AO21)</f>
        <v>-267952.5924</v>
      </c>
      <c r="AO203" s="13" t="n">
        <f aca="false">IF(ISBLANK(Actuals!AP21),((-(SUMPRODUCT((Personnel!$O$9:$O$100="GC")*(Personnel!$G$9:$G$100="Yes")*(37&gt;=Personnel!$E$9:$E$100)*((Personnel!$K$9:$K$100="")+(37&lt;=Personnel!$K$9:$K$100)&gt;0)*Personnel!$D$9:$D$100*(1-Personnel!$H$9:$H$100))+Staffing!AO81))*Escalation!$B$38)-IF(AO$3=9,Assumptions!$B$151,0)-IF(AND(AO$3&gt;=21,MOD(AO$3-21,12)=0),Assumptions!$B$152,0),Actuals!AP21)</f>
        <v>-267952.5924</v>
      </c>
      <c r="AP203" s="13" t="n">
        <f aca="false">IF(ISBLANK(Actuals!AQ21),((-(SUMPRODUCT((Personnel!$O$9:$O$100="GC")*(Personnel!$G$9:$G$100="Yes")*(38&gt;=Personnel!$E$9:$E$100)*((Personnel!$K$9:$K$100="")+(38&lt;=Personnel!$K$9:$K$100)&gt;0)*Personnel!$D$9:$D$100*(1-Personnel!$H$9:$H$100))+Staffing!AP81))*Escalation!$B$39)-IF(AP$3=9,Assumptions!$B$151,0)-IF(AND(AP$3&gt;=21,MOD(AP$3-21,12)=0),Assumptions!$B$152,0),Actuals!AQ21)</f>
        <v>-267952.5924</v>
      </c>
      <c r="AQ203" s="13" t="n">
        <f aca="false">IF(ISBLANK(Actuals!AR21),((-(SUMPRODUCT((Personnel!$O$9:$O$100="GC")*(Personnel!$G$9:$G$100="Yes")*(39&gt;=Personnel!$E$9:$E$100)*((Personnel!$K$9:$K$100="")+(39&lt;=Personnel!$K$9:$K$100)&gt;0)*Personnel!$D$9:$D$100*(1-Personnel!$H$9:$H$100))+Staffing!AQ81))*Escalation!$B$40)-IF(AQ$3=9,Assumptions!$B$151,0)-IF(AND(AQ$3&gt;=21,MOD(AQ$3-21,12)=0),Assumptions!$B$152,0),Actuals!AR21)</f>
        <v>-267952.5924</v>
      </c>
      <c r="AR203" s="13" t="n">
        <f aca="false">IF(ISBLANK(Actuals!AS21),((-(SUMPRODUCT((Personnel!$O$9:$O$100="GC")*(Personnel!$G$9:$G$100="Yes")*(40&gt;=Personnel!$E$9:$E$100)*((Personnel!$K$9:$K$100="")+(40&lt;=Personnel!$K$9:$K$100)&gt;0)*Personnel!$D$9:$D$100*(1-Personnel!$H$9:$H$100))+Staffing!AR81))*Escalation!$B$41)-IF(AR$3=9,Assumptions!$B$151,0)-IF(AND(AR$3&gt;=21,MOD(AR$3-21,12)=0),Assumptions!$B$152,0),Actuals!AS21)</f>
        <v>-267952.5924</v>
      </c>
      <c r="AS203" s="13" t="n">
        <f aca="false">IF(ISBLANK(Actuals!AT21),((-(SUMPRODUCT((Personnel!$O$9:$O$100="GC")*(Personnel!$G$9:$G$100="Yes")*(41&gt;=Personnel!$E$9:$E$100)*((Personnel!$K$9:$K$100="")+(41&lt;=Personnel!$K$9:$K$100)&gt;0)*Personnel!$D$9:$D$100*(1-Personnel!$H$9:$H$100))+Staffing!AS81))*Escalation!$B$42)-IF(AS$3=9,Assumptions!$B$151,0)-IF(AND(AS$3&gt;=21,MOD(AS$3-21,12)=0),Assumptions!$B$152,0),Actuals!AT21)</f>
        <v>-267952.5924</v>
      </c>
      <c r="AT203" s="13" t="n">
        <f aca="false">IF(ISBLANK(Actuals!AU21),((-(SUMPRODUCT((Personnel!$O$9:$O$100="GC")*(Personnel!$G$9:$G$100="Yes")*(42&gt;=Personnel!$E$9:$E$100)*((Personnel!$K$9:$K$100="")+(42&lt;=Personnel!$K$9:$K$100)&gt;0)*Personnel!$D$9:$D$100*(1-Personnel!$H$9:$H$100))+Staffing!AT81))*Escalation!$B$43)-IF(AT$3=9,Assumptions!$B$151,0)-IF(AND(AT$3&gt;=21,MOD(AT$3-21,12)=0),Assumptions!$B$152,0),Actuals!AU21)</f>
        <v>-267952.5924</v>
      </c>
      <c r="AU203" s="13" t="n">
        <f aca="false">IF(ISBLANK(Actuals!AV21),((-(SUMPRODUCT((Personnel!$O$9:$O$100="GC")*(Personnel!$G$9:$G$100="Yes")*(43&gt;=Personnel!$E$9:$E$100)*((Personnel!$K$9:$K$100="")+(43&lt;=Personnel!$K$9:$K$100)&gt;0)*Personnel!$D$9:$D$100*(1-Personnel!$H$9:$H$100))+Staffing!AU81))*Escalation!$B$44)-IF(AU$3=9,Assumptions!$B$151,0)-IF(AND(AU$3&gt;=21,MOD(AU$3-21,12)=0),Assumptions!$B$152,0),Actuals!AV21)</f>
        <v>-267952.5924</v>
      </c>
      <c r="AV203" s="13" t="n">
        <f aca="false">IF(ISBLANK(Actuals!AW21),((-(SUMPRODUCT((Personnel!$O$9:$O$100="GC")*(Personnel!$G$9:$G$100="Yes")*(44&gt;=Personnel!$E$9:$E$100)*((Personnel!$K$9:$K$100="")+(44&lt;=Personnel!$K$9:$K$100)&gt;0)*Personnel!$D$9:$D$100*(1-Personnel!$H$9:$H$100))+Staffing!AV81))*Escalation!$B$45)-IF(AV$3=9,Assumptions!$B$151,0)-IF(AND(AV$3&gt;=21,MOD(AV$3-21,12)=0),Assumptions!$B$152,0),Actuals!AW21)</f>
        <v>-267952.5924</v>
      </c>
      <c r="AW203" s="13" t="n">
        <f aca="false">IF(ISBLANK(Actuals!AX21),((-(SUMPRODUCT((Personnel!$O$9:$O$100="GC")*(Personnel!$G$9:$G$100="Yes")*(45&gt;=Personnel!$E$9:$E$100)*((Personnel!$K$9:$K$100="")+(45&lt;=Personnel!$K$9:$K$100)&gt;0)*Personnel!$D$9:$D$100*(1-Personnel!$H$9:$H$100))+Staffing!AW81))*Escalation!$B$46)-IF(AW$3=9,Assumptions!$B$151,0)-IF(AND(AW$3&gt;=21,MOD(AW$3-21,12)=0),Assumptions!$B$152,0),Actuals!AX21)</f>
        <v>-467952.5924</v>
      </c>
      <c r="AX203" s="13" t="n">
        <f aca="false">IF(ISBLANK(Actuals!AY21),((-(SUMPRODUCT((Personnel!$O$9:$O$100="GC")*(Personnel!$G$9:$G$100="Yes")*(46&gt;=Personnel!$E$9:$E$100)*((Personnel!$K$9:$K$100="")+(46&lt;=Personnel!$K$9:$K$100)&gt;0)*Personnel!$D$9:$D$100*(1-Personnel!$H$9:$H$100))+Staffing!AX81))*Escalation!$B$47)-IF(AX$3=9,Assumptions!$B$151,0)-IF(AND(AX$3&gt;=21,MOD(AX$3-21,12)=0),Assumptions!$B$152,0),Actuals!AY21)</f>
        <v>-273311.644248</v>
      </c>
      <c r="AY203" s="13" t="n">
        <f aca="false">IF(ISBLANK(Actuals!AZ21),((-(SUMPRODUCT((Personnel!$O$9:$O$100="GC")*(Personnel!$G$9:$G$100="Yes")*(47&gt;=Personnel!$E$9:$E$100)*((Personnel!$K$9:$K$100="")+(47&lt;=Personnel!$K$9:$K$100)&gt;0)*Personnel!$D$9:$D$100*(1-Personnel!$H$9:$H$100))+Staffing!AY81))*Escalation!$B$48)-IF(AY$3=9,Assumptions!$B$151,0)-IF(AND(AY$3&gt;=21,MOD(AY$3-21,12)=0),Assumptions!$B$152,0),Actuals!AZ21)</f>
        <v>-273311.644248</v>
      </c>
      <c r="AZ203" s="13" t="n">
        <f aca="false">IF(ISBLANK(Actuals!BA21),((-(SUMPRODUCT((Personnel!$O$9:$O$100="GC")*(Personnel!$G$9:$G$100="Yes")*(48&gt;=Personnel!$E$9:$E$100)*((Personnel!$K$9:$K$100="")+(48&lt;=Personnel!$K$9:$K$100)&gt;0)*Personnel!$D$9:$D$100*(1-Personnel!$H$9:$H$100))+Staffing!AZ81))*Escalation!$B$49)-IF(AZ$3=9,Assumptions!$B$151,0)-IF(AND(AZ$3&gt;=21,MOD(AZ$3-21,12)=0),Assumptions!$B$152,0),Actuals!BA21)</f>
        <v>-273311.644248</v>
      </c>
      <c r="BA203" s="13" t="n">
        <f aca="false">IF(ISBLANK(Actuals!BB21),((-(SUMPRODUCT((Personnel!$O$9:$O$100="GC")*(Personnel!$G$9:$G$100="Yes")*(49&gt;=Personnel!$E$9:$E$100)*((Personnel!$K$9:$K$100="")+(49&lt;=Personnel!$K$9:$K$100)&gt;0)*Personnel!$D$9:$D$100*(1-Personnel!$H$9:$H$100))+Staffing!BA81))*Escalation!$B$50)-IF(BA$3=9,Assumptions!$B$151,0)-IF(AND(BA$3&gt;=21,MOD(BA$3-21,12)=0),Assumptions!$B$152,0),Actuals!BB21)</f>
        <v>-273311.644248</v>
      </c>
      <c r="BB203" s="13" t="n">
        <f aca="false">IF(ISBLANK(Actuals!BC21),((-(SUMPRODUCT((Personnel!$O$9:$O$100="GC")*(Personnel!$G$9:$G$100="Yes")*(50&gt;=Personnel!$E$9:$E$100)*((Personnel!$K$9:$K$100="")+(50&lt;=Personnel!$K$9:$K$100)&gt;0)*Personnel!$D$9:$D$100*(1-Personnel!$H$9:$H$100))+Staffing!BB81))*Escalation!$B$51)-IF(BB$3=9,Assumptions!$B$151,0)-IF(AND(BB$3&gt;=21,MOD(BB$3-21,12)=0),Assumptions!$B$152,0),Actuals!BC21)</f>
        <v>-273311.644248</v>
      </c>
      <c r="BC203" s="13" t="n">
        <f aca="false">IF(ISBLANK(Actuals!BD21),((-(SUMPRODUCT((Personnel!$O$9:$O$100="GC")*(Personnel!$G$9:$G$100="Yes")*(51&gt;=Personnel!$E$9:$E$100)*((Personnel!$K$9:$K$100="")+(51&lt;=Personnel!$K$9:$K$100)&gt;0)*Personnel!$D$9:$D$100*(1-Personnel!$H$9:$H$100))+Staffing!BC81))*Escalation!$B$52)-IF(BC$3=9,Assumptions!$B$151,0)-IF(AND(BC$3&gt;=21,MOD(BC$3-21,12)=0),Assumptions!$B$152,0),Actuals!BD21)</f>
        <v>-273311.644248</v>
      </c>
      <c r="BD203" s="13" t="n">
        <f aca="false">IF(ISBLANK(Actuals!BE21),((-(SUMPRODUCT((Personnel!$O$9:$O$100="GC")*(Personnel!$G$9:$G$100="Yes")*(52&gt;=Personnel!$E$9:$E$100)*((Personnel!$K$9:$K$100="")+(52&lt;=Personnel!$K$9:$K$100)&gt;0)*Personnel!$D$9:$D$100*(1-Personnel!$H$9:$H$100))+Staffing!BD81))*Escalation!$B$53)-IF(BD$3=9,Assumptions!$B$151,0)-IF(AND(BD$3&gt;=21,MOD(BD$3-21,12)=0),Assumptions!$B$152,0),Actuals!BE21)</f>
        <v>-273311.644248</v>
      </c>
      <c r="BE203" s="13" t="n">
        <f aca="false">IF(ISBLANK(Actuals!BF21),((-(SUMPRODUCT((Personnel!$O$9:$O$100="GC")*(Personnel!$G$9:$G$100="Yes")*(53&gt;=Personnel!$E$9:$E$100)*((Personnel!$K$9:$K$100="")+(53&lt;=Personnel!$K$9:$K$100)&gt;0)*Personnel!$D$9:$D$100*(1-Personnel!$H$9:$H$100))+Staffing!BE81))*Escalation!$B$54)-IF(BE$3=9,Assumptions!$B$151,0)-IF(AND(BE$3&gt;=21,MOD(BE$3-21,12)=0),Assumptions!$B$152,0),Actuals!BF21)</f>
        <v>-273311.644248</v>
      </c>
      <c r="BF203" s="13" t="n">
        <f aca="false">IF(ISBLANK(Actuals!BG21),((-(SUMPRODUCT((Personnel!$O$9:$O$100="GC")*(Personnel!$G$9:$G$100="Yes")*(54&gt;=Personnel!$E$9:$E$100)*((Personnel!$K$9:$K$100="")+(54&lt;=Personnel!$K$9:$K$100)&gt;0)*Personnel!$D$9:$D$100*(1-Personnel!$H$9:$H$100))+Staffing!BF81))*Escalation!$B$55)-IF(BF$3=9,Assumptions!$B$151,0)-IF(AND(BF$3&gt;=21,MOD(BF$3-21,12)=0),Assumptions!$B$152,0),Actuals!BG21)</f>
        <v>-273311.644248</v>
      </c>
      <c r="BG203" s="13" t="n">
        <f aca="false">IF(ISBLANK(Actuals!BH21),((-(SUMPRODUCT((Personnel!$O$9:$O$100="GC")*(Personnel!$G$9:$G$100="Yes")*(55&gt;=Personnel!$E$9:$E$100)*((Personnel!$K$9:$K$100="")+(55&lt;=Personnel!$K$9:$K$100)&gt;0)*Personnel!$D$9:$D$100*(1-Personnel!$H$9:$H$100))+Staffing!BG81))*Escalation!$B$56)-IF(BG$3=9,Assumptions!$B$151,0)-IF(AND(BG$3&gt;=21,MOD(BG$3-21,12)=0),Assumptions!$B$152,0),Actuals!BH21)</f>
        <v>-273311.644248</v>
      </c>
      <c r="BH203" s="13" t="n">
        <f aca="false">IF(ISBLANK(Actuals!BI21),((-(SUMPRODUCT((Personnel!$O$9:$O$100="GC")*(Personnel!$G$9:$G$100="Yes")*(56&gt;=Personnel!$E$9:$E$100)*((Personnel!$K$9:$K$100="")+(56&lt;=Personnel!$K$9:$K$100)&gt;0)*Personnel!$D$9:$D$100*(1-Personnel!$H$9:$H$100))+Staffing!BH81))*Escalation!$B$57)-IF(BH$3=9,Assumptions!$B$151,0)-IF(AND(BH$3&gt;=21,MOD(BH$3-21,12)=0),Assumptions!$B$152,0),Actuals!BI21)</f>
        <v>-273311.644248</v>
      </c>
      <c r="BI203" s="13" t="n">
        <f aca="false">IF(ISBLANK(Actuals!BJ21),((-(SUMPRODUCT((Personnel!$O$9:$O$100="GC")*(Personnel!$G$9:$G$100="Yes")*(57&gt;=Personnel!$E$9:$E$100)*((Personnel!$K$9:$K$100="")+(57&lt;=Personnel!$K$9:$K$100)&gt;0)*Personnel!$D$9:$D$100*(1-Personnel!$H$9:$H$100))+Staffing!BI81))*Escalation!$B$58)-IF(BI$3=9,Assumptions!$B$151,0)-IF(AND(BI$3&gt;=21,MOD(BI$3-21,12)=0),Assumptions!$B$152,0),Actuals!BJ21)</f>
        <v>-473311.644248</v>
      </c>
      <c r="BJ203" s="13" t="n">
        <f aca="false">IF(ISBLANK(Actuals!BK21),((-(SUMPRODUCT((Personnel!$O$9:$O$100="GC")*(Personnel!$G$9:$G$100="Yes")*(58&gt;=Personnel!$E$9:$E$100)*((Personnel!$K$9:$K$100="")+(58&lt;=Personnel!$K$9:$K$100)&gt;0)*Personnel!$D$9:$D$100*(1-Personnel!$H$9:$H$100))+Staffing!BJ81))*Escalation!$B$59)-IF(BJ$3=9,Assumptions!$B$151,0)-IF(AND(BJ$3&gt;=21,MOD(BJ$3-21,12)=0),Assumptions!$B$152,0),Actuals!BK21)</f>
        <v>-278777.87713296</v>
      </c>
      <c r="BK203" s="13" t="n">
        <f aca="false">IF(ISBLANK(Actuals!BL21),((-(SUMPRODUCT((Personnel!$O$9:$O$100="GC")*(Personnel!$G$9:$G$100="Yes")*(59&gt;=Personnel!$E$9:$E$100)*((Personnel!$K$9:$K$100="")+(59&lt;=Personnel!$K$9:$K$100)&gt;0)*Personnel!$D$9:$D$100*(1-Personnel!$H$9:$H$100))+Staffing!BK81))*Escalation!$B$60)-IF(BK$3=9,Assumptions!$B$151,0)-IF(AND(BK$3&gt;=21,MOD(BK$3-21,12)=0),Assumptions!$B$152,0),Actuals!BL21)</f>
        <v>-278777.87713296</v>
      </c>
      <c r="BL203" s="13" t="n">
        <f aca="false">IF(ISBLANK(Actuals!BM21),((-(SUMPRODUCT((Personnel!$O$9:$O$100="GC")*(Personnel!$G$9:$G$100="Yes")*(60&gt;=Personnel!$E$9:$E$100)*((Personnel!$K$9:$K$100="")+(60&lt;=Personnel!$K$9:$K$100)&gt;0)*Personnel!$D$9:$D$100*(1-Personnel!$H$9:$H$100))+Staffing!BL81))*Escalation!$B$61)-IF(BL$3=9,Assumptions!$B$151,0)-IF(AND(BL$3&gt;=21,MOD(BL$3-21,12)=0),Assumptions!$B$152,0),Actuals!BM21)</f>
        <v>-278777.87713296</v>
      </c>
      <c r="BM203" s="13" t="n">
        <f aca="false">IF(ISBLANK(Actuals!BN21),((-(SUMPRODUCT((Personnel!$O$9:$O$100="GC")*(Personnel!$G$9:$G$100="Yes")*(61&gt;=Personnel!$E$9:$E$100)*((Personnel!$K$9:$K$100="")+(61&lt;=Personnel!$K$9:$K$100)&gt;0)*Personnel!$D$9:$D$100*(1-Personnel!$H$9:$H$100))+Staffing!BM81))*Escalation!$B$62)-IF(BM$3=9,Assumptions!$B$151,0)-IF(AND(BM$3&gt;=21,MOD(BM$3-21,12)=0),Assumptions!$B$152,0),Actuals!BN21)</f>
        <v>-278777.87713296</v>
      </c>
      <c r="BN203" s="13" t="n">
        <f aca="false">IF(ISBLANK(Actuals!BO21),((-(SUMPRODUCT((Personnel!$O$9:$O$100="GC")*(Personnel!$G$9:$G$100="Yes")*(62&gt;=Personnel!$E$9:$E$100)*((Personnel!$K$9:$K$100="")+(62&lt;=Personnel!$K$9:$K$100)&gt;0)*Personnel!$D$9:$D$100*(1-Personnel!$H$9:$H$100))+Staffing!BN81))*Escalation!$B$63)-IF(BN$3=9,Assumptions!$B$151,0)-IF(AND(BN$3&gt;=21,MOD(BN$3-21,12)=0),Assumptions!$B$152,0),Actuals!BO21)</f>
        <v>-278777.87713296</v>
      </c>
      <c r="BO203" s="13" t="n">
        <f aca="false">IF(ISBLANK(Actuals!BP21),((-(SUMPRODUCT((Personnel!$O$9:$O$100="GC")*(Personnel!$G$9:$G$100="Yes")*(63&gt;=Personnel!$E$9:$E$100)*((Personnel!$K$9:$K$100="")+(63&lt;=Personnel!$K$9:$K$100)&gt;0)*Personnel!$D$9:$D$100*(1-Personnel!$H$9:$H$100))+Staffing!BO81))*Escalation!$B$64)-IF(BO$3=9,Assumptions!$B$151,0)-IF(AND(BO$3&gt;=21,MOD(BO$3-21,12)=0),Assumptions!$B$152,0),Actuals!BP21)</f>
        <v>-278777.87713296</v>
      </c>
      <c r="BP203" s="13" t="n">
        <f aca="false">IF(ISBLANK(Actuals!BQ21),((-(SUMPRODUCT((Personnel!$O$9:$O$100="GC")*(Personnel!$G$9:$G$100="Yes")*(64&gt;=Personnel!$E$9:$E$100)*((Personnel!$K$9:$K$100="")+(64&lt;=Personnel!$K$9:$K$100)&gt;0)*Personnel!$D$9:$D$100*(1-Personnel!$H$9:$H$100))+Staffing!BP81))*Escalation!$B$65)-IF(BP$3=9,Assumptions!$B$151,0)-IF(AND(BP$3&gt;=21,MOD(BP$3-21,12)=0),Assumptions!$B$152,0),Actuals!BQ21)</f>
        <v>-278777.87713296</v>
      </c>
      <c r="BQ203" s="13" t="n">
        <f aca="false">IF(ISBLANK(Actuals!BR21),((-(SUMPRODUCT((Personnel!$O$9:$O$100="GC")*(Personnel!$G$9:$G$100="Yes")*(65&gt;=Personnel!$E$9:$E$100)*((Personnel!$K$9:$K$100="")+(65&lt;=Personnel!$K$9:$K$100)&gt;0)*Personnel!$D$9:$D$100*(1-Personnel!$H$9:$H$100))+Staffing!BQ81))*Escalation!$B$66)-IF(BQ$3=9,Assumptions!$B$151,0)-IF(AND(BQ$3&gt;=21,MOD(BQ$3-21,12)=0),Assumptions!$B$152,0),Actuals!BR21)</f>
        <v>-278777.87713296</v>
      </c>
      <c r="BR203" s="13" t="n">
        <f aca="false">IF(ISBLANK(Actuals!BS21),((-(SUMPRODUCT((Personnel!$O$9:$O$100="GC")*(Personnel!$G$9:$G$100="Yes")*(66&gt;=Personnel!$E$9:$E$100)*((Personnel!$K$9:$K$100="")+(66&lt;=Personnel!$K$9:$K$100)&gt;0)*Personnel!$D$9:$D$100*(1-Personnel!$H$9:$H$100))+Staffing!BR81))*Escalation!$B$67)-IF(BR$3=9,Assumptions!$B$151,0)-IF(AND(BR$3&gt;=21,MOD(BR$3-21,12)=0),Assumptions!$B$152,0),Actuals!BS21)</f>
        <v>-278777.87713296</v>
      </c>
      <c r="BS203" s="13" t="n">
        <f aca="false">IF(ISBLANK(Actuals!BT21),((-(SUMPRODUCT((Personnel!$O$9:$O$100="GC")*(Personnel!$G$9:$G$100="Yes")*(67&gt;=Personnel!$E$9:$E$100)*((Personnel!$K$9:$K$100="")+(67&lt;=Personnel!$K$9:$K$100)&gt;0)*Personnel!$D$9:$D$100*(1-Personnel!$H$9:$H$100))+Staffing!BS81))*Escalation!$B$68)-IF(BS$3=9,Assumptions!$B$151,0)-IF(AND(BS$3&gt;=21,MOD(BS$3-21,12)=0),Assumptions!$B$152,0),Actuals!BT21)</f>
        <v>-278777.87713296</v>
      </c>
      <c r="BT203" s="13" t="n">
        <f aca="false">IF(ISBLANK(Actuals!BU21),((-(SUMPRODUCT((Personnel!$O$9:$O$100="GC")*(Personnel!$G$9:$G$100="Yes")*(68&gt;=Personnel!$E$9:$E$100)*((Personnel!$K$9:$K$100="")+(68&lt;=Personnel!$K$9:$K$100)&gt;0)*Personnel!$D$9:$D$100*(1-Personnel!$H$9:$H$100))+Staffing!BT81))*Escalation!$B$69)-IF(BT$3=9,Assumptions!$B$151,0)-IF(AND(BT$3&gt;=21,MOD(BT$3-21,12)=0),Assumptions!$B$152,0),Actuals!BU21)</f>
        <v>-278777.87713296</v>
      </c>
      <c r="BU203" s="13" t="n">
        <f aca="false">IF(ISBLANK(Actuals!BV21),((-(SUMPRODUCT((Personnel!$O$9:$O$100="GC")*(Personnel!$G$9:$G$100="Yes")*(69&gt;=Personnel!$E$9:$E$100)*((Personnel!$K$9:$K$100="")+(69&lt;=Personnel!$K$9:$K$100)&gt;0)*Personnel!$D$9:$D$100*(1-Personnel!$H$9:$H$100))+Staffing!BU81))*Escalation!$B$70)-IF(BU$3=9,Assumptions!$B$151,0)-IF(AND(BU$3&gt;=21,MOD(BU$3-21,12)=0),Assumptions!$B$152,0),Actuals!BV21)</f>
        <v>-478777.87713296</v>
      </c>
      <c r="BV203" s="13" t="n">
        <f aca="false">IF(ISBLANK(Actuals!BW21),((-(SUMPRODUCT((Personnel!$O$9:$O$100="GC")*(Personnel!$G$9:$G$100="Yes")*(70&gt;=Personnel!$E$9:$E$100)*((Personnel!$K$9:$K$100="")+(70&lt;=Personnel!$K$9:$K$100)&gt;0)*Personnel!$D$9:$D$100*(1-Personnel!$H$9:$H$100))+Staffing!BV81))*Escalation!$B$71)-IF(BV$3=9,Assumptions!$B$151,0)-IF(AND(BV$3&gt;=21,MOD(BV$3-21,12)=0),Assumptions!$B$152,0),Actuals!BW21)</f>
        <v>-284353.434675619</v>
      </c>
      <c r="BW203" s="13" t="n">
        <f aca="false">IF(ISBLANK(Actuals!BX21),((-(SUMPRODUCT((Personnel!$O$9:$O$100="GC")*(Personnel!$G$9:$G$100="Yes")*(71&gt;=Personnel!$E$9:$E$100)*((Personnel!$K$9:$K$100="")+(71&lt;=Personnel!$K$9:$K$100)&gt;0)*Personnel!$D$9:$D$100*(1-Personnel!$H$9:$H$100))+Staffing!BW81))*Escalation!$B$72)-IF(BW$3=9,Assumptions!$B$151,0)-IF(AND(BW$3&gt;=21,MOD(BW$3-21,12)=0),Assumptions!$B$152,0),Actuals!BX21)</f>
        <v>-284353.434675619</v>
      </c>
      <c r="BX203" s="13" t="n">
        <f aca="false">IF(ISBLANK(Actuals!BY21),((-(SUMPRODUCT((Personnel!$O$9:$O$100="GC")*(Personnel!$G$9:$G$100="Yes")*(72&gt;=Personnel!$E$9:$E$100)*((Personnel!$K$9:$K$100="")+(72&lt;=Personnel!$K$9:$K$100)&gt;0)*Personnel!$D$9:$D$100*(1-Personnel!$H$9:$H$100))+Staffing!BX81))*Escalation!$B$73)-IF(BX$3=9,Assumptions!$B$151,0)-IF(AND(BX$3&gt;=21,MOD(BX$3-21,12)=0),Assumptions!$B$152,0),Actuals!BY21)</f>
        <v>-284353.434675619</v>
      </c>
      <c r="BY203" s="13" t="n">
        <f aca="false">IF(ISBLANK(Actuals!BZ21),((-(SUMPRODUCT((Personnel!$O$9:$O$100="GC")*(Personnel!$G$9:$G$100="Yes")*(73&gt;=Personnel!$E$9:$E$100)*((Personnel!$K$9:$K$100="")+(73&lt;=Personnel!$K$9:$K$100)&gt;0)*Personnel!$D$9:$D$100*(1-Personnel!$H$9:$H$100))+Staffing!BY81))*Escalation!$B$74)-IF(BY$3=9,Assumptions!$B$151,0)-IF(AND(BY$3&gt;=21,MOD(BY$3-21,12)=0),Assumptions!$B$152,0),Actuals!BZ21)</f>
        <v>-284353.434675619</v>
      </c>
      <c r="BZ203" s="13" t="n">
        <f aca="false">IF(ISBLANK(Actuals!CA21),((-(SUMPRODUCT((Personnel!$O$9:$O$100="GC")*(Personnel!$G$9:$G$100="Yes")*(74&gt;=Personnel!$E$9:$E$100)*((Personnel!$K$9:$K$100="")+(74&lt;=Personnel!$K$9:$K$100)&gt;0)*Personnel!$D$9:$D$100*(1-Personnel!$H$9:$H$100))+Staffing!BZ81))*Escalation!$B$75)-IF(BZ$3=9,Assumptions!$B$151,0)-IF(AND(BZ$3&gt;=21,MOD(BZ$3-21,12)=0),Assumptions!$B$152,0),Actuals!CA21)</f>
        <v>-284353.434675619</v>
      </c>
      <c r="CA203" s="13" t="n">
        <f aca="false">IF(ISBLANK(Actuals!CB21),((-(SUMPRODUCT((Personnel!$O$9:$O$100="GC")*(Personnel!$G$9:$G$100="Yes")*(75&gt;=Personnel!$E$9:$E$100)*((Personnel!$K$9:$K$100="")+(75&lt;=Personnel!$K$9:$K$100)&gt;0)*Personnel!$D$9:$D$100*(1-Personnel!$H$9:$H$100))+Staffing!CA81))*Escalation!$B$76)-IF(CA$3=9,Assumptions!$B$151,0)-IF(AND(CA$3&gt;=21,MOD(CA$3-21,12)=0),Assumptions!$B$152,0),Actuals!CB21)</f>
        <v>-284353.434675619</v>
      </c>
      <c r="CB203" s="13" t="n">
        <f aca="false">IF(ISBLANK(Actuals!CC21),((-(SUMPRODUCT((Personnel!$O$9:$O$100="GC")*(Personnel!$G$9:$G$100="Yes")*(76&gt;=Personnel!$E$9:$E$100)*((Personnel!$K$9:$K$100="")+(76&lt;=Personnel!$K$9:$K$100)&gt;0)*Personnel!$D$9:$D$100*(1-Personnel!$H$9:$H$100))+Staffing!CB81))*Escalation!$B$77)-IF(CB$3=9,Assumptions!$B$151,0)-IF(AND(CB$3&gt;=21,MOD(CB$3-21,12)=0),Assumptions!$B$152,0),Actuals!CC21)</f>
        <v>-284353.434675619</v>
      </c>
      <c r="CC203" s="13" t="n">
        <f aca="false">IF(ISBLANK(Actuals!CD21),((-(SUMPRODUCT((Personnel!$O$9:$O$100="GC")*(Personnel!$G$9:$G$100="Yes")*(77&gt;=Personnel!$E$9:$E$100)*((Personnel!$K$9:$K$100="")+(77&lt;=Personnel!$K$9:$K$100)&gt;0)*Personnel!$D$9:$D$100*(1-Personnel!$H$9:$H$100))+Staffing!CC81))*Escalation!$B$78)-IF(CC$3=9,Assumptions!$B$151,0)-IF(AND(CC$3&gt;=21,MOD(CC$3-21,12)=0),Assumptions!$B$152,0),Actuals!CD21)</f>
        <v>-284353.434675619</v>
      </c>
      <c r="CD203" s="13" t="n">
        <f aca="false">IF(ISBLANK(Actuals!CE21),((-(SUMPRODUCT((Personnel!$O$9:$O$100="GC")*(Personnel!$G$9:$G$100="Yes")*(78&gt;=Personnel!$E$9:$E$100)*((Personnel!$K$9:$K$100="")+(78&lt;=Personnel!$K$9:$K$100)&gt;0)*Personnel!$D$9:$D$100*(1-Personnel!$H$9:$H$100))+Staffing!CD81))*Escalation!$B$79)-IF(CD$3=9,Assumptions!$B$151,0)-IF(AND(CD$3&gt;=21,MOD(CD$3-21,12)=0),Assumptions!$B$152,0),Actuals!CE21)</f>
        <v>-284353.434675619</v>
      </c>
      <c r="CE203" s="13" t="n">
        <f aca="false">IF(ISBLANK(Actuals!CF21),((-(SUMPRODUCT((Personnel!$O$9:$O$100="GC")*(Personnel!$G$9:$G$100="Yes")*(79&gt;=Personnel!$E$9:$E$100)*((Personnel!$K$9:$K$100="")+(79&lt;=Personnel!$K$9:$K$100)&gt;0)*Personnel!$D$9:$D$100*(1-Personnel!$H$9:$H$100))+Staffing!CE81))*Escalation!$B$80)-IF(CE$3=9,Assumptions!$B$151,0)-IF(AND(CE$3&gt;=21,MOD(CE$3-21,12)=0),Assumptions!$B$152,0),Actuals!CF21)</f>
        <v>-284353.434675619</v>
      </c>
      <c r="CF203" s="13" t="n">
        <f aca="false">IF(ISBLANK(Actuals!CG21),((-(SUMPRODUCT((Personnel!$O$9:$O$100="GC")*(Personnel!$G$9:$G$100="Yes")*(80&gt;=Personnel!$E$9:$E$100)*((Personnel!$K$9:$K$100="")+(80&lt;=Personnel!$K$9:$K$100)&gt;0)*Personnel!$D$9:$D$100*(1-Personnel!$H$9:$H$100))+Staffing!CF81))*Escalation!$B$81)-IF(CF$3=9,Assumptions!$B$151,0)-IF(AND(CF$3&gt;=21,MOD(CF$3-21,12)=0),Assumptions!$B$152,0),Actuals!CG21)</f>
        <v>-284353.434675619</v>
      </c>
      <c r="CG203" s="13" t="n">
        <f aca="false">IF(ISBLANK(Actuals!CH21),((-(SUMPRODUCT((Personnel!$O$9:$O$100="GC")*(Personnel!$G$9:$G$100="Yes")*(81&gt;=Personnel!$E$9:$E$100)*((Personnel!$K$9:$K$100="")+(81&lt;=Personnel!$K$9:$K$100)&gt;0)*Personnel!$D$9:$D$100*(1-Personnel!$H$9:$H$100))+Staffing!CG81))*Escalation!$B$82)-IF(CG$3=9,Assumptions!$B$151,0)-IF(AND(CG$3&gt;=21,MOD(CG$3-21,12)=0),Assumptions!$B$152,0),Actuals!CH21)</f>
        <v>-484353.434675619</v>
      </c>
      <c r="CH203" s="13" t="n">
        <f aca="false">IF(ISBLANK(Actuals!CI21),((-(SUMPRODUCT((Personnel!$O$9:$O$100="GC")*(Personnel!$G$9:$G$100="Yes")*(82&gt;=Personnel!$E$9:$E$100)*((Personnel!$K$9:$K$100="")+(82&lt;=Personnel!$K$9:$K$100)&gt;0)*Personnel!$D$9:$D$100*(1-Personnel!$H$9:$H$100))+Staffing!CH81))*Escalation!$B$83)-IF(CH$3=9,Assumptions!$B$151,0)-IF(AND(CH$3&gt;=21,MOD(CH$3-21,12)=0),Assumptions!$B$152,0),Actuals!CI21)</f>
        <v>-290040.503369132</v>
      </c>
      <c r="CI203" s="13" t="n">
        <f aca="false">IF(ISBLANK(Actuals!CJ21),((-(SUMPRODUCT((Personnel!$O$9:$O$100="GC")*(Personnel!$G$9:$G$100="Yes")*(83&gt;=Personnel!$E$9:$E$100)*((Personnel!$K$9:$K$100="")+(83&lt;=Personnel!$K$9:$K$100)&gt;0)*Personnel!$D$9:$D$100*(1-Personnel!$H$9:$H$100))+Staffing!CI81))*Escalation!$B$84)-IF(CI$3=9,Assumptions!$B$151,0)-IF(AND(CI$3&gt;=21,MOD(CI$3-21,12)=0),Assumptions!$B$152,0),Actuals!CJ21)</f>
        <v>-290040.503369132</v>
      </c>
      <c r="CJ203" s="13" t="n">
        <f aca="false">IF(ISBLANK(Actuals!CK21),((-(SUMPRODUCT((Personnel!$O$9:$O$100="GC")*(Personnel!$G$9:$G$100="Yes")*(84&gt;=Personnel!$E$9:$E$100)*((Personnel!$K$9:$K$100="")+(84&lt;=Personnel!$K$9:$K$100)&gt;0)*Personnel!$D$9:$D$100*(1-Personnel!$H$9:$H$100))+Staffing!CJ81))*Escalation!$B$85)-IF(CJ$3=9,Assumptions!$B$151,0)-IF(AND(CJ$3&gt;=21,MOD(CJ$3-21,12)=0),Assumptions!$B$152,0),Actuals!CK21)</f>
        <v>-290040.503369132</v>
      </c>
      <c r="CK203" s="13" t="n">
        <f aca="false">IF(ISBLANK(Actuals!CL21),((-(SUMPRODUCT((Personnel!$O$9:$O$100="GC")*(Personnel!$G$9:$G$100="Yes")*(85&gt;=Personnel!$E$9:$E$100)*((Personnel!$K$9:$K$100="")+(85&lt;=Personnel!$K$9:$K$100)&gt;0)*Personnel!$D$9:$D$100*(1-Personnel!$H$9:$H$100))+Staffing!CK81))*Escalation!$B$86)-IF(CK$3=9,Assumptions!$B$151,0)-IF(AND(CK$3&gt;=21,MOD(CK$3-21,12)=0),Assumptions!$B$152,0),Actuals!CL21)</f>
        <v>-290040.503369132</v>
      </c>
      <c r="CL203" s="13" t="n">
        <f aca="false">IF(ISBLANK(Actuals!CM21),((-(SUMPRODUCT((Personnel!$O$9:$O$100="GC")*(Personnel!$G$9:$G$100="Yes")*(86&gt;=Personnel!$E$9:$E$100)*((Personnel!$K$9:$K$100="")+(86&lt;=Personnel!$K$9:$K$100)&gt;0)*Personnel!$D$9:$D$100*(1-Personnel!$H$9:$H$100))+Staffing!CL81))*Escalation!$B$87)-IF(CL$3=9,Assumptions!$B$151,0)-IF(AND(CL$3&gt;=21,MOD(CL$3-21,12)=0),Assumptions!$B$152,0),Actuals!CM21)</f>
        <v>-290040.503369132</v>
      </c>
      <c r="CM203" s="13" t="n">
        <f aca="false">IF(ISBLANK(Actuals!CN21),((-(SUMPRODUCT((Personnel!$O$9:$O$100="GC")*(Personnel!$G$9:$G$100="Yes")*(87&gt;=Personnel!$E$9:$E$100)*((Personnel!$K$9:$K$100="")+(87&lt;=Personnel!$K$9:$K$100)&gt;0)*Personnel!$D$9:$D$100*(1-Personnel!$H$9:$H$100))+Staffing!CM81))*Escalation!$B$88)-IF(CM$3=9,Assumptions!$B$151,0)-IF(AND(CM$3&gt;=21,MOD(CM$3-21,12)=0),Assumptions!$B$152,0),Actuals!CN21)</f>
        <v>-290040.503369132</v>
      </c>
      <c r="CN203" s="13" t="n">
        <f aca="false">IF(ISBLANK(Actuals!CO21),((-(SUMPRODUCT((Personnel!$O$9:$O$100="GC")*(Personnel!$G$9:$G$100="Yes")*(88&gt;=Personnel!$E$9:$E$100)*((Personnel!$K$9:$K$100="")+(88&lt;=Personnel!$K$9:$K$100)&gt;0)*Personnel!$D$9:$D$100*(1-Personnel!$H$9:$H$100))+Staffing!CN81))*Escalation!$B$89)-IF(CN$3=9,Assumptions!$B$151,0)-IF(AND(CN$3&gt;=21,MOD(CN$3-21,12)=0),Assumptions!$B$152,0),Actuals!CO21)</f>
        <v>-290040.503369132</v>
      </c>
      <c r="CO203" s="13" t="n">
        <f aca="false">IF(ISBLANK(Actuals!CP21),((-(SUMPRODUCT((Personnel!$O$9:$O$100="GC")*(Personnel!$G$9:$G$100="Yes")*(89&gt;=Personnel!$E$9:$E$100)*((Personnel!$K$9:$K$100="")+(89&lt;=Personnel!$K$9:$K$100)&gt;0)*Personnel!$D$9:$D$100*(1-Personnel!$H$9:$H$100))+Staffing!CO81))*Escalation!$B$90)-IF(CO$3=9,Assumptions!$B$151,0)-IF(AND(CO$3&gt;=21,MOD(CO$3-21,12)=0),Assumptions!$B$152,0),Actuals!CP21)</f>
        <v>-290040.503369132</v>
      </c>
      <c r="CP203" s="13" t="n">
        <f aca="false">IF(ISBLANK(Actuals!CQ21),((-(SUMPRODUCT((Personnel!$O$9:$O$100="GC")*(Personnel!$G$9:$G$100="Yes")*(90&gt;=Personnel!$E$9:$E$100)*((Personnel!$K$9:$K$100="")+(90&lt;=Personnel!$K$9:$K$100)&gt;0)*Personnel!$D$9:$D$100*(1-Personnel!$H$9:$H$100))+Staffing!CP81))*Escalation!$B$91)-IF(CP$3=9,Assumptions!$B$151,0)-IF(AND(CP$3&gt;=21,MOD(CP$3-21,12)=0),Assumptions!$B$152,0),Actuals!CQ21)</f>
        <v>-290040.503369132</v>
      </c>
      <c r="CQ203" s="13" t="n">
        <f aca="false">IF(ISBLANK(Actuals!CR21),((-(SUMPRODUCT((Personnel!$O$9:$O$100="GC")*(Personnel!$G$9:$G$100="Yes")*(91&gt;=Personnel!$E$9:$E$100)*((Personnel!$K$9:$K$100="")+(91&lt;=Personnel!$K$9:$K$100)&gt;0)*Personnel!$D$9:$D$100*(1-Personnel!$H$9:$H$100))+Staffing!CQ81))*Escalation!$B$92)-IF(CQ$3=9,Assumptions!$B$151,0)-IF(AND(CQ$3&gt;=21,MOD(CQ$3-21,12)=0),Assumptions!$B$152,0),Actuals!CR21)</f>
        <v>-290040.503369132</v>
      </c>
      <c r="CR203" s="13" t="n">
        <f aca="false">IF(ISBLANK(Actuals!CS21),((-(SUMPRODUCT((Personnel!$O$9:$O$100="GC")*(Personnel!$G$9:$G$100="Yes")*(92&gt;=Personnel!$E$9:$E$100)*((Personnel!$K$9:$K$100="")+(92&lt;=Personnel!$K$9:$K$100)&gt;0)*Personnel!$D$9:$D$100*(1-Personnel!$H$9:$H$100))+Staffing!CR81))*Escalation!$B$93)-IF(CR$3=9,Assumptions!$B$151,0)-IF(AND(CR$3&gt;=21,MOD(CR$3-21,12)=0),Assumptions!$B$152,0),Actuals!CS21)</f>
        <v>-290040.503369132</v>
      </c>
      <c r="CS203" s="13" t="n">
        <f aca="false">IF(ISBLANK(Actuals!CT21),((-(SUMPRODUCT((Personnel!$O$9:$O$100="GC")*(Personnel!$G$9:$G$100="Yes")*(93&gt;=Personnel!$E$9:$E$100)*((Personnel!$K$9:$K$100="")+(93&lt;=Personnel!$K$9:$K$100)&gt;0)*Personnel!$D$9:$D$100*(1-Personnel!$H$9:$H$100))+Staffing!CS81))*Escalation!$B$94)-IF(CS$3=9,Assumptions!$B$151,0)-IF(AND(CS$3&gt;=21,MOD(CS$3-21,12)=0),Assumptions!$B$152,0),Actuals!CT21)</f>
        <v>-490040.503369132</v>
      </c>
      <c r="CT203" s="13" t="n">
        <f aca="false">IF(ISBLANK(Actuals!CU21),((-(SUMPRODUCT((Personnel!$O$9:$O$100="GC")*(Personnel!$G$9:$G$100="Yes")*(94&gt;=Personnel!$E$9:$E$100)*((Personnel!$K$9:$K$100="")+(94&lt;=Personnel!$K$9:$K$100)&gt;0)*Personnel!$D$9:$D$100*(1-Personnel!$H$9:$H$100))+Staffing!CT81))*Escalation!$B$95)-IF(CT$3=9,Assumptions!$B$151,0)-IF(AND(CT$3&gt;=21,MOD(CT$3-21,12)=0),Assumptions!$B$152,0),Actuals!CU21)</f>
        <v>-295841.313436514</v>
      </c>
      <c r="CU203" s="13" t="n">
        <f aca="false">IF(ISBLANK(Actuals!CV21),((-(SUMPRODUCT((Personnel!$O$9:$O$100="GC")*(Personnel!$G$9:$G$100="Yes")*(95&gt;=Personnel!$E$9:$E$100)*((Personnel!$K$9:$K$100="")+(95&lt;=Personnel!$K$9:$K$100)&gt;0)*Personnel!$D$9:$D$100*(1-Personnel!$H$9:$H$100))+Staffing!CU81))*Escalation!$B$96)-IF(CU$3=9,Assumptions!$B$151,0)-IF(AND(CU$3&gt;=21,MOD(CU$3-21,12)=0),Assumptions!$B$152,0),Actuals!CV21)</f>
        <v>-295841.313436514</v>
      </c>
      <c r="CV203" s="13" t="n">
        <f aca="false">IF(ISBLANK(Actuals!CW21),((-(SUMPRODUCT((Personnel!$O$9:$O$100="GC")*(Personnel!$G$9:$G$100="Yes")*(96&gt;=Personnel!$E$9:$E$100)*((Personnel!$K$9:$K$100="")+(96&lt;=Personnel!$K$9:$K$100)&gt;0)*Personnel!$D$9:$D$100*(1-Personnel!$H$9:$H$100))+Staffing!CV81))*Escalation!$B$97)-IF(CV$3=9,Assumptions!$B$151,0)-IF(AND(CV$3&gt;=21,MOD(CV$3-21,12)=0),Assumptions!$B$152,0),Actuals!CW21)</f>
        <v>-295841.313436514</v>
      </c>
      <c r="CW203" s="13" t="n">
        <f aca="false">IF(ISBLANK(Actuals!CX21),((-(SUMPRODUCT((Personnel!$O$9:$O$100="GC")*(Personnel!$G$9:$G$100="Yes")*(97&gt;=Personnel!$E$9:$E$100)*((Personnel!$K$9:$K$100="")+(97&lt;=Personnel!$K$9:$K$100)&gt;0)*Personnel!$D$9:$D$100*(1-Personnel!$H$9:$H$100))+Staffing!CW81))*Escalation!$B$98)-IF(CW$3=9,Assumptions!$B$151,0)-IF(AND(CW$3&gt;=21,MOD(CW$3-21,12)=0),Assumptions!$B$152,0),Actuals!CX21)</f>
        <v>-295841.313436514</v>
      </c>
      <c r="CX203" s="13" t="n">
        <f aca="false">IF(ISBLANK(Actuals!CY21),((-(SUMPRODUCT((Personnel!$O$9:$O$100="GC")*(Personnel!$G$9:$G$100="Yes")*(98&gt;=Personnel!$E$9:$E$100)*((Personnel!$K$9:$K$100="")+(98&lt;=Personnel!$K$9:$K$100)&gt;0)*Personnel!$D$9:$D$100*(1-Personnel!$H$9:$H$100))+Staffing!CX81))*Escalation!$B$99)-IF(CX$3=9,Assumptions!$B$151,0)-IF(AND(CX$3&gt;=21,MOD(CX$3-21,12)=0),Assumptions!$B$152,0),Actuals!CY21)</f>
        <v>-295841.313436514</v>
      </c>
      <c r="CY203" s="13" t="n">
        <f aca="false">IF(ISBLANK(Actuals!CZ21),((-(SUMPRODUCT((Personnel!$O$9:$O$100="GC")*(Personnel!$G$9:$G$100="Yes")*(99&gt;=Personnel!$E$9:$E$100)*((Personnel!$K$9:$K$100="")+(99&lt;=Personnel!$K$9:$K$100)&gt;0)*Personnel!$D$9:$D$100*(1-Personnel!$H$9:$H$100))+Staffing!CY81))*Escalation!$B$100)-IF(CY$3=9,Assumptions!$B$151,0)-IF(AND(CY$3&gt;=21,MOD(CY$3-21,12)=0),Assumptions!$B$152,0),Actuals!CZ21)</f>
        <v>-295841.313436514</v>
      </c>
      <c r="CZ203" s="13" t="n">
        <f aca="false">IF(ISBLANK(Actuals!DA21),((-(SUMPRODUCT((Personnel!$O$9:$O$100="GC")*(Personnel!$G$9:$G$100="Yes")*(100&gt;=Personnel!$E$9:$E$100)*((Personnel!$K$9:$K$100="")+(100&lt;=Personnel!$K$9:$K$100)&gt;0)*Personnel!$D$9:$D$100*(1-Personnel!$H$9:$H$100))+Staffing!CZ81))*Escalation!$B$101)-IF(CZ$3=9,Assumptions!$B$151,0)-IF(AND(CZ$3&gt;=21,MOD(CZ$3-21,12)=0),Assumptions!$B$152,0),Actuals!DA21)</f>
        <v>-295841.313436514</v>
      </c>
      <c r="DA203" s="13" t="n">
        <f aca="false">IF(ISBLANK(Actuals!DB21),((-(SUMPRODUCT((Personnel!$O$9:$O$100="GC")*(Personnel!$G$9:$G$100="Yes")*(101&gt;=Personnel!$E$9:$E$100)*((Personnel!$K$9:$K$100="")+(101&lt;=Personnel!$K$9:$K$100)&gt;0)*Personnel!$D$9:$D$100*(1-Personnel!$H$9:$H$100))+Staffing!DA81))*Escalation!$B$102)-IF(DA$3=9,Assumptions!$B$151,0)-IF(AND(DA$3&gt;=21,MOD(DA$3-21,12)=0),Assumptions!$B$152,0),Actuals!DB21)</f>
        <v>-295841.313436514</v>
      </c>
      <c r="DB203" s="13" t="n">
        <f aca="false">IF(ISBLANK(Actuals!DC21),((-(SUMPRODUCT((Personnel!$O$9:$O$100="GC")*(Personnel!$G$9:$G$100="Yes")*(102&gt;=Personnel!$E$9:$E$100)*((Personnel!$K$9:$K$100="")+(102&lt;=Personnel!$K$9:$K$100)&gt;0)*Personnel!$D$9:$D$100*(1-Personnel!$H$9:$H$100))+Staffing!DB81))*Escalation!$B$103)-IF(DB$3=9,Assumptions!$B$151,0)-IF(AND(DB$3&gt;=21,MOD(DB$3-21,12)=0),Assumptions!$B$152,0),Actuals!DC21)</f>
        <v>-295841.313436514</v>
      </c>
      <c r="DC203" s="13" t="n">
        <f aca="false">IF(ISBLANK(Actuals!DD21),((-(SUMPRODUCT((Personnel!$O$9:$O$100="GC")*(Personnel!$G$9:$G$100="Yes")*(103&gt;=Personnel!$E$9:$E$100)*((Personnel!$K$9:$K$100="")+(103&lt;=Personnel!$K$9:$K$100)&gt;0)*Personnel!$D$9:$D$100*(1-Personnel!$H$9:$H$100))+Staffing!DC81))*Escalation!$B$104)-IF(DC$3=9,Assumptions!$B$151,0)-IF(AND(DC$3&gt;=21,MOD(DC$3-21,12)=0),Assumptions!$B$152,0),Actuals!DD21)</f>
        <v>-295841.313436514</v>
      </c>
      <c r="DD203" s="13" t="n">
        <f aca="false">IF(ISBLANK(Actuals!DE21),((-(SUMPRODUCT((Personnel!$O$9:$O$100="GC")*(Personnel!$G$9:$G$100="Yes")*(104&gt;=Personnel!$E$9:$E$100)*((Personnel!$K$9:$K$100="")+(104&lt;=Personnel!$K$9:$K$100)&gt;0)*Personnel!$D$9:$D$100*(1-Personnel!$H$9:$H$100))+Staffing!DD81))*Escalation!$B$105)-IF(DD$3=9,Assumptions!$B$151,0)-IF(AND(DD$3&gt;=21,MOD(DD$3-21,12)=0),Assumptions!$B$152,0),Actuals!DE21)</f>
        <v>-295841.313436514</v>
      </c>
      <c r="DE203" s="13" t="n">
        <f aca="false">IF(ISBLANK(Actuals!DF21),((-(SUMPRODUCT((Personnel!$O$9:$O$100="GC")*(Personnel!$G$9:$G$100="Yes")*(105&gt;=Personnel!$E$9:$E$100)*((Personnel!$K$9:$K$100="")+(105&lt;=Personnel!$K$9:$K$100)&gt;0)*Personnel!$D$9:$D$100*(1-Personnel!$H$9:$H$100))+Staffing!DE81))*Escalation!$B$106)-IF(DE$3=9,Assumptions!$B$151,0)-IF(AND(DE$3&gt;=21,MOD(DE$3-21,12)=0),Assumptions!$B$152,0),Actuals!DF21)</f>
        <v>-495841.313436514</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-22549.17</v>
      </c>
      <c r="L204" s="13" t="n">
        <f aca="false">IF(ISBLANK(Actuals!M22),-Helpers!J4*Assumptions!$B$20,Actuals!M22)</f>
        <v>-22549.17</v>
      </c>
      <c r="M204" s="13" t="n">
        <f aca="false">IF(ISBLANK(Actuals!N22),-Helpers!K4*Assumptions!$B$20,Actuals!N22)</f>
        <v>-23482.5033333333</v>
      </c>
      <c r="N204" s="13" t="n">
        <f aca="false">IF(ISBLANK(Actuals!O22),-Helpers!L4*Assumptions!$B$20,Actuals!O22)</f>
        <v>-22797.0866666667</v>
      </c>
      <c r="O204" s="13" t="n">
        <f aca="false">IF(ISBLANK(Actuals!P22),-Helpers!M4*Assumptions!$B$20,Actuals!P22)</f>
        <v>-23526.2533333333</v>
      </c>
      <c r="P204" s="13" t="n">
        <f aca="false">IF(ISBLANK(Actuals!Q22),-Helpers!N4*Assumptions!$B$20,Actuals!Q22)</f>
        <v>-23526.2533333333</v>
      </c>
      <c r="Q204" s="13" t="n">
        <f aca="false">IF(ISBLANK(Actuals!R22),-Helpers!O4*Assumptions!$B$20,Actuals!R22)</f>
        <v>-23526.2533333333</v>
      </c>
      <c r="R204" s="13" t="n">
        <f aca="false">IF(ISBLANK(Actuals!S22),-Helpers!P4*Assumptions!$B$20,Actuals!S22)</f>
        <v>-23526.2533333333</v>
      </c>
      <c r="S204" s="13" t="n">
        <f aca="false">IF(ISBLANK(Actuals!T22),-Helpers!Q4*Assumptions!$B$20,Actuals!T22)</f>
        <v>-26880.42</v>
      </c>
      <c r="T204" s="13" t="n">
        <f aca="false">IF(ISBLANK(Actuals!U22),-Helpers!R4*Assumptions!$B$20,Actuals!U22)</f>
        <v>-26880.42</v>
      </c>
      <c r="U204" s="13" t="n">
        <f aca="false">IF(ISBLANK(Actuals!V22),-Helpers!S4*Assumptions!$B$20,Actuals!V22)</f>
        <v>-26880.42</v>
      </c>
      <c r="V204" s="13" t="n">
        <f aca="false">IF(ISBLANK(Actuals!W22),-Helpers!T4*Assumptions!$B$20,Actuals!W22)</f>
        <v>-26880.42</v>
      </c>
      <c r="W204" s="13" t="n">
        <f aca="false">IF(ISBLANK(Actuals!X22),-Helpers!U4*Assumptions!$B$20,Actuals!X22)</f>
        <v>-26880.42</v>
      </c>
      <c r="X204" s="13" t="n">
        <f aca="false">IF(ISBLANK(Actuals!Y22),-Helpers!V4*Assumptions!$B$20,Actuals!Y22)</f>
        <v>-26880.42</v>
      </c>
      <c r="Y204" s="13" t="n">
        <f aca="false">IF(ISBLANK(Actuals!Z22),-Helpers!W4*Assumptions!$B$20,Actuals!Z22)</f>
        <v>-26880.42</v>
      </c>
      <c r="Z204" s="13" t="n">
        <f aca="false">IF(ISBLANK(Actuals!AA22),-Helpers!X4*Assumptions!$B$20,Actuals!AA22)</f>
        <v>-25692.5284</v>
      </c>
      <c r="AA204" s="13" t="n">
        <f aca="false">IF(ISBLANK(Actuals!AB22),-Helpers!Y4*Assumptions!$B$20,Actuals!AB22)</f>
        <v>-25692.5284</v>
      </c>
      <c r="AB204" s="13" t="n">
        <f aca="false">IF(ISBLANK(Actuals!AC22),-Helpers!Z4*Assumptions!$B$20,Actuals!AC22)</f>
        <v>-23996.7784</v>
      </c>
      <c r="AC204" s="13" t="n">
        <f aca="false">IF(ISBLANK(Actuals!AD22),-Helpers!AA4*Assumptions!$B$20,Actuals!AD22)</f>
        <v>-23996.7784</v>
      </c>
      <c r="AD204" s="13" t="n">
        <f aca="false">IF(ISBLANK(Actuals!AE22),-Helpers!AB4*Assumptions!$B$20,Actuals!AE22)</f>
        <v>-22301.0284</v>
      </c>
      <c r="AE204" s="13" t="n">
        <f aca="false">IF(ISBLANK(Actuals!AF22),-Helpers!AC4*Assumptions!$B$20,Actuals!AF22)</f>
        <v>-22301.0284</v>
      </c>
      <c r="AF204" s="13" t="n">
        <f aca="false">IF(ISBLANK(Actuals!AG22),-Helpers!AD4*Assumptions!$B$20,Actuals!AG22)</f>
        <v>-22301.0284</v>
      </c>
      <c r="AG204" s="13" t="n">
        <f aca="false">IF(ISBLANK(Actuals!AH22),-Helpers!AE4*Assumptions!$B$20,Actuals!AH22)</f>
        <v>-22301.0284</v>
      </c>
      <c r="AH204" s="13" t="n">
        <f aca="false">IF(ISBLANK(Actuals!AI22),-Helpers!AF4*Assumptions!$B$20,Actuals!AI22)</f>
        <v>-22301.0284</v>
      </c>
      <c r="AI204" s="13" t="n">
        <f aca="false">IF(ISBLANK(Actuals!AJ22),-Helpers!AG4*Assumptions!$B$20,Actuals!AJ22)</f>
        <v>-22301.0284</v>
      </c>
      <c r="AJ204" s="13" t="n">
        <f aca="false">IF(ISBLANK(Actuals!AK22),-Helpers!AH4*Assumptions!$B$20,Actuals!AK22)</f>
        <v>-22301.0284</v>
      </c>
      <c r="AK204" s="13" t="n">
        <f aca="false">IF(ISBLANK(Actuals!AL22),-Helpers!AI4*Assumptions!$B$20,Actuals!AL22)</f>
        <v>-22301.0284</v>
      </c>
      <c r="AL204" s="13" t="n">
        <f aca="false">IF(ISBLANK(Actuals!AM22),-Helpers!AJ4*Assumptions!$B$20,Actuals!AM22)</f>
        <v>-22747.048968</v>
      </c>
      <c r="AM204" s="13" t="n">
        <f aca="false">IF(ISBLANK(Actuals!AN22),-Helpers!AK4*Assumptions!$B$20,Actuals!AN22)</f>
        <v>-22747.048968</v>
      </c>
      <c r="AN204" s="13" t="n">
        <f aca="false">IF(ISBLANK(Actuals!AO22),-Helpers!AL4*Assumptions!$B$20,Actuals!AO22)</f>
        <v>-22747.048968</v>
      </c>
      <c r="AO204" s="13" t="n">
        <f aca="false">IF(ISBLANK(Actuals!AP22),-Helpers!AM4*Assumptions!$B$20,Actuals!AP22)</f>
        <v>-22747.048968</v>
      </c>
      <c r="AP204" s="13" t="n">
        <f aca="false">IF(ISBLANK(Actuals!AQ22),-Helpers!AN4*Assumptions!$B$20,Actuals!AQ22)</f>
        <v>-22747.048968</v>
      </c>
      <c r="AQ204" s="13" t="n">
        <f aca="false">IF(ISBLANK(Actuals!AR22),-Helpers!AO4*Assumptions!$B$20,Actuals!AR22)</f>
        <v>-22747.048968</v>
      </c>
      <c r="AR204" s="13" t="n">
        <f aca="false">IF(ISBLANK(Actuals!AS22),-Helpers!AP4*Assumptions!$B$20,Actuals!AS22)</f>
        <v>-22747.048968</v>
      </c>
      <c r="AS204" s="13" t="n">
        <f aca="false">IF(ISBLANK(Actuals!AT22),-Helpers!AQ4*Assumptions!$B$20,Actuals!AT22)</f>
        <v>-22747.048968</v>
      </c>
      <c r="AT204" s="13" t="n">
        <f aca="false">IF(ISBLANK(Actuals!AU22),-Helpers!AR4*Assumptions!$B$20,Actuals!AU22)</f>
        <v>-22747.048968</v>
      </c>
      <c r="AU204" s="13" t="n">
        <f aca="false">IF(ISBLANK(Actuals!AV22),-Helpers!AS4*Assumptions!$B$20,Actuals!AV22)</f>
        <v>-22747.048968</v>
      </c>
      <c r="AV204" s="13" t="n">
        <f aca="false">IF(ISBLANK(Actuals!AW22),-Helpers!AT4*Assumptions!$B$20,Actuals!AW22)</f>
        <v>-22747.048968</v>
      </c>
      <c r="AW204" s="13" t="n">
        <f aca="false">IF(ISBLANK(Actuals!AX22),-Helpers!AU4*Assumptions!$B$20,Actuals!AX22)</f>
        <v>-22747.048968</v>
      </c>
      <c r="AX204" s="13" t="n">
        <f aca="false">IF(ISBLANK(Actuals!AY22),-Helpers!AV4*Assumptions!$B$20,Actuals!AY22)</f>
        <v>-23201.98994736</v>
      </c>
      <c r="AY204" s="13" t="n">
        <f aca="false">IF(ISBLANK(Actuals!AZ22),-Helpers!AW4*Assumptions!$B$20,Actuals!AZ22)</f>
        <v>-23201.98994736</v>
      </c>
      <c r="AZ204" s="13" t="n">
        <f aca="false">IF(ISBLANK(Actuals!BA22),-Helpers!AX4*Assumptions!$B$20,Actuals!BA22)</f>
        <v>-23201.98994736</v>
      </c>
      <c r="BA204" s="13" t="n">
        <f aca="false">IF(ISBLANK(Actuals!BB22),-Helpers!AY4*Assumptions!$B$20,Actuals!BB22)</f>
        <v>-23201.98994736</v>
      </c>
      <c r="BB204" s="13" t="n">
        <f aca="false">IF(ISBLANK(Actuals!BC22),-Helpers!AZ4*Assumptions!$B$20,Actuals!BC22)</f>
        <v>-23201.98994736</v>
      </c>
      <c r="BC204" s="13" t="n">
        <f aca="false">IF(ISBLANK(Actuals!BD22),-Helpers!BA4*Assumptions!$B$20,Actuals!BD22)</f>
        <v>-23201.98994736</v>
      </c>
      <c r="BD204" s="13" t="n">
        <f aca="false">IF(ISBLANK(Actuals!BE22),-Helpers!BB4*Assumptions!$B$20,Actuals!BE22)</f>
        <v>-23201.98994736</v>
      </c>
      <c r="BE204" s="13" t="n">
        <f aca="false">IF(ISBLANK(Actuals!BF22),-Helpers!BC4*Assumptions!$B$20,Actuals!BF22)</f>
        <v>-23201.98994736</v>
      </c>
      <c r="BF204" s="13" t="n">
        <f aca="false">IF(ISBLANK(Actuals!BG22),-Helpers!BD4*Assumptions!$B$20,Actuals!BG22)</f>
        <v>-23201.98994736</v>
      </c>
      <c r="BG204" s="13" t="n">
        <f aca="false">IF(ISBLANK(Actuals!BH22),-Helpers!BE4*Assumptions!$B$20,Actuals!BH22)</f>
        <v>-23201.98994736</v>
      </c>
      <c r="BH204" s="13" t="n">
        <f aca="false">IF(ISBLANK(Actuals!BI22),-Helpers!BF4*Assumptions!$B$20,Actuals!BI22)</f>
        <v>-23201.98994736</v>
      </c>
      <c r="BI204" s="13" t="n">
        <f aca="false">IF(ISBLANK(Actuals!BJ22),-Helpers!BG4*Assumptions!$B$20,Actuals!BJ22)</f>
        <v>-23201.98994736</v>
      </c>
      <c r="BJ204" s="13" t="n">
        <f aca="false">IF(ISBLANK(Actuals!BK22),-Helpers!BH4*Assumptions!$B$20,Actuals!BK22)</f>
        <v>-23666.0297463072</v>
      </c>
      <c r="BK204" s="13" t="n">
        <f aca="false">IF(ISBLANK(Actuals!BL22),-Helpers!BI4*Assumptions!$B$20,Actuals!BL22)</f>
        <v>-23666.0297463072</v>
      </c>
      <c r="BL204" s="13" t="n">
        <f aca="false">IF(ISBLANK(Actuals!BM22),-Helpers!BJ4*Assumptions!$B$20,Actuals!BM22)</f>
        <v>-23666.0297463072</v>
      </c>
      <c r="BM204" s="13" t="n">
        <f aca="false">IF(ISBLANK(Actuals!BN22),-Helpers!BK4*Assumptions!$B$20,Actuals!BN22)</f>
        <v>-23666.0297463072</v>
      </c>
      <c r="BN204" s="13" t="n">
        <f aca="false">IF(ISBLANK(Actuals!BO22),-Helpers!BL4*Assumptions!$B$20,Actuals!BO22)</f>
        <v>-23666.0297463072</v>
      </c>
      <c r="BO204" s="13" t="n">
        <f aca="false">IF(ISBLANK(Actuals!BP22),-Helpers!BM4*Assumptions!$B$20,Actuals!BP22)</f>
        <v>-23666.0297463072</v>
      </c>
      <c r="BP204" s="13" t="n">
        <f aca="false">IF(ISBLANK(Actuals!BQ22),-Helpers!BN4*Assumptions!$B$20,Actuals!BQ22)</f>
        <v>-23666.0297463072</v>
      </c>
      <c r="BQ204" s="13" t="n">
        <f aca="false">IF(ISBLANK(Actuals!BR22),-Helpers!BO4*Assumptions!$B$20,Actuals!BR22)</f>
        <v>-23666.0297463072</v>
      </c>
      <c r="BR204" s="13" t="n">
        <f aca="false">IF(ISBLANK(Actuals!BS22),-Helpers!BP4*Assumptions!$B$20,Actuals!BS22)</f>
        <v>-23666.0297463072</v>
      </c>
      <c r="BS204" s="13" t="n">
        <f aca="false">IF(ISBLANK(Actuals!BT22),-Helpers!BQ4*Assumptions!$B$20,Actuals!BT22)</f>
        <v>-23666.0297463072</v>
      </c>
      <c r="BT204" s="13" t="n">
        <f aca="false">IF(ISBLANK(Actuals!BU22),-Helpers!BR4*Assumptions!$B$20,Actuals!BU22)</f>
        <v>-23666.0297463072</v>
      </c>
      <c r="BU204" s="13" t="n">
        <f aca="false">IF(ISBLANK(Actuals!BV22),-Helpers!BS4*Assumptions!$B$20,Actuals!BV22)</f>
        <v>-23666.0297463072</v>
      </c>
      <c r="BV204" s="13" t="n">
        <f aca="false">IF(ISBLANK(Actuals!BW22),-Helpers!BT4*Assumptions!$B$20,Actuals!BW22)</f>
        <v>-24139.3503412333</v>
      </c>
      <c r="BW204" s="13" t="n">
        <f aca="false">IF(ISBLANK(Actuals!BX22),-Helpers!BU4*Assumptions!$B$20,Actuals!BX22)</f>
        <v>-24139.3503412333</v>
      </c>
      <c r="BX204" s="13" t="n">
        <f aca="false">IF(ISBLANK(Actuals!BY22),-Helpers!BV4*Assumptions!$B$20,Actuals!BY22)</f>
        <v>-24139.3503412333</v>
      </c>
      <c r="BY204" s="13" t="n">
        <f aca="false">IF(ISBLANK(Actuals!BZ22),-Helpers!BW4*Assumptions!$B$20,Actuals!BZ22)</f>
        <v>-24139.3503412333</v>
      </c>
      <c r="BZ204" s="13" t="n">
        <f aca="false">IF(ISBLANK(Actuals!CA22),-Helpers!BX4*Assumptions!$B$20,Actuals!CA22)</f>
        <v>-24139.3503412333</v>
      </c>
      <c r="CA204" s="13" t="n">
        <f aca="false">IF(ISBLANK(Actuals!CB22),-Helpers!BY4*Assumptions!$B$20,Actuals!CB22)</f>
        <v>-24139.3503412333</v>
      </c>
      <c r="CB204" s="13" t="n">
        <f aca="false">IF(ISBLANK(Actuals!CC22),-Helpers!BZ4*Assumptions!$B$20,Actuals!CC22)</f>
        <v>-24139.3503412333</v>
      </c>
      <c r="CC204" s="13" t="n">
        <f aca="false">IF(ISBLANK(Actuals!CD22),-Helpers!CA4*Assumptions!$B$20,Actuals!CD22)</f>
        <v>-24139.3503412333</v>
      </c>
      <c r="CD204" s="13" t="n">
        <f aca="false">IF(ISBLANK(Actuals!CE22),-Helpers!CB4*Assumptions!$B$20,Actuals!CE22)</f>
        <v>-24139.3503412333</v>
      </c>
      <c r="CE204" s="13" t="n">
        <f aca="false">IF(ISBLANK(Actuals!CF22),-Helpers!CC4*Assumptions!$B$20,Actuals!CF22)</f>
        <v>-24139.3503412333</v>
      </c>
      <c r="CF204" s="13" t="n">
        <f aca="false">IF(ISBLANK(Actuals!CG22),-Helpers!CD4*Assumptions!$B$20,Actuals!CG22)</f>
        <v>-24139.3503412333</v>
      </c>
      <c r="CG204" s="13" t="n">
        <f aca="false">IF(ISBLANK(Actuals!CH22),-Helpers!CE4*Assumptions!$B$20,Actuals!CH22)</f>
        <v>-24139.3503412333</v>
      </c>
      <c r="CH204" s="13" t="n">
        <f aca="false">IF(ISBLANK(Actuals!CI22),-Helpers!CF4*Assumptions!$B$20,Actuals!CI22)</f>
        <v>-24622.137348058</v>
      </c>
      <c r="CI204" s="13" t="n">
        <f aca="false">IF(ISBLANK(Actuals!CJ22),-Helpers!CG4*Assumptions!$B$20,Actuals!CJ22)</f>
        <v>-24622.137348058</v>
      </c>
      <c r="CJ204" s="13" t="n">
        <f aca="false">IF(ISBLANK(Actuals!CK22),-Helpers!CH4*Assumptions!$B$20,Actuals!CK22)</f>
        <v>-24622.137348058</v>
      </c>
      <c r="CK204" s="13" t="n">
        <f aca="false">IF(ISBLANK(Actuals!CL22),-Helpers!CI4*Assumptions!$B$20,Actuals!CL22)</f>
        <v>-24622.137348058</v>
      </c>
      <c r="CL204" s="13" t="n">
        <f aca="false">IF(ISBLANK(Actuals!CM22),-Helpers!CJ4*Assumptions!$B$20,Actuals!CM22)</f>
        <v>-24622.137348058</v>
      </c>
      <c r="CM204" s="13" t="n">
        <f aca="false">IF(ISBLANK(Actuals!CN22),-Helpers!CK4*Assumptions!$B$20,Actuals!CN22)</f>
        <v>-24622.137348058</v>
      </c>
      <c r="CN204" s="13" t="n">
        <f aca="false">IF(ISBLANK(Actuals!CO22),-Helpers!CL4*Assumptions!$B$20,Actuals!CO22)</f>
        <v>-24622.137348058</v>
      </c>
      <c r="CO204" s="13" t="n">
        <f aca="false">IF(ISBLANK(Actuals!CP22),-Helpers!CM4*Assumptions!$B$20,Actuals!CP22)</f>
        <v>-24622.137348058</v>
      </c>
      <c r="CP204" s="13" t="n">
        <f aca="false">IF(ISBLANK(Actuals!CQ22),-Helpers!CN4*Assumptions!$B$20,Actuals!CQ22)</f>
        <v>-24622.137348058</v>
      </c>
      <c r="CQ204" s="13" t="n">
        <f aca="false">IF(ISBLANK(Actuals!CR22),-Helpers!CO4*Assumptions!$B$20,Actuals!CR22)</f>
        <v>-24622.137348058</v>
      </c>
      <c r="CR204" s="13" t="n">
        <f aca="false">IF(ISBLANK(Actuals!CS22),-Helpers!CP4*Assumptions!$B$20,Actuals!CS22)</f>
        <v>-24622.137348058</v>
      </c>
      <c r="CS204" s="13" t="n">
        <f aca="false">IF(ISBLANK(Actuals!CT22),-Helpers!CQ4*Assumptions!$B$20,Actuals!CT22)</f>
        <v>-24622.137348058</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-11274.585</v>
      </c>
      <c r="L206" s="13" t="n">
        <f aca="false">IF(ISBLANK(Actuals!M24),-Helpers!J4*Assumptions!$B$24,Actuals!M24)</f>
        <v>-11274.585</v>
      </c>
      <c r="M206" s="13" t="n">
        <f aca="false">IF(ISBLANK(Actuals!N24),-Helpers!K4*Assumptions!$B$24,Actuals!N24)</f>
        <v>-11741.2516666667</v>
      </c>
      <c r="N206" s="13" t="n">
        <f aca="false">IF(ISBLANK(Actuals!O24),-Helpers!L4*Assumptions!$B$24,Actuals!O24)</f>
        <v>-11398.5433333333</v>
      </c>
      <c r="O206" s="13" t="n">
        <f aca="false">IF(ISBLANK(Actuals!P24),-Helpers!M4*Assumptions!$B$24,Actuals!P24)</f>
        <v>-11763.1266666667</v>
      </c>
      <c r="P206" s="13" t="n">
        <f aca="false">IF(ISBLANK(Actuals!Q24),-Helpers!N4*Assumptions!$B$24,Actuals!Q24)</f>
        <v>-11763.1266666667</v>
      </c>
      <c r="Q206" s="13" t="n">
        <f aca="false">IF(ISBLANK(Actuals!R24),-Helpers!O4*Assumptions!$B$24,Actuals!R24)</f>
        <v>-11763.1266666667</v>
      </c>
      <c r="R206" s="13" t="n">
        <f aca="false">IF(ISBLANK(Actuals!S24),-Helpers!P4*Assumptions!$B$24,Actuals!S24)</f>
        <v>-11763.1266666667</v>
      </c>
      <c r="S206" s="13" t="n">
        <f aca="false">IF(ISBLANK(Actuals!T24),-Helpers!Q4*Assumptions!$B$24,Actuals!T24)</f>
        <v>-13440.21</v>
      </c>
      <c r="T206" s="13" t="n">
        <f aca="false">IF(ISBLANK(Actuals!U24),-Helpers!R4*Assumptions!$B$24,Actuals!U24)</f>
        <v>-13440.21</v>
      </c>
      <c r="U206" s="13" t="n">
        <f aca="false">IF(ISBLANK(Actuals!V24),-Helpers!S4*Assumptions!$B$24,Actuals!V24)</f>
        <v>-13440.21</v>
      </c>
      <c r="V206" s="13" t="n">
        <f aca="false">IF(ISBLANK(Actuals!W24),-Helpers!T4*Assumptions!$B$24,Actuals!W24)</f>
        <v>-13440.21</v>
      </c>
      <c r="W206" s="13" t="n">
        <f aca="false">IF(ISBLANK(Actuals!X24),-Helpers!U4*Assumptions!$B$24,Actuals!X24)</f>
        <v>-13440.21</v>
      </c>
      <c r="X206" s="13" t="n">
        <f aca="false">IF(ISBLANK(Actuals!Y24),-Helpers!V4*Assumptions!$B$24,Actuals!Y24)</f>
        <v>-13440.21</v>
      </c>
      <c r="Y206" s="13" t="n">
        <f aca="false">IF(ISBLANK(Actuals!Z24),-Helpers!W4*Assumptions!$B$24,Actuals!Z24)</f>
        <v>-13440.21</v>
      </c>
      <c r="Z206" s="13" t="n">
        <f aca="false">IF(ISBLANK(Actuals!AA24),-Helpers!X4*Assumptions!$B$24,Actuals!AA24)</f>
        <v>-12846.2642</v>
      </c>
      <c r="AA206" s="13" t="n">
        <f aca="false">IF(ISBLANK(Actuals!AB24),-Helpers!Y4*Assumptions!$B$24,Actuals!AB24)</f>
        <v>-12846.2642</v>
      </c>
      <c r="AB206" s="13" t="n">
        <f aca="false">IF(ISBLANK(Actuals!AC24),-Helpers!Z4*Assumptions!$B$24,Actuals!AC24)</f>
        <v>-11998.3892</v>
      </c>
      <c r="AC206" s="13" t="n">
        <f aca="false">IF(ISBLANK(Actuals!AD24),-Helpers!AA4*Assumptions!$B$24,Actuals!AD24)</f>
        <v>-11998.3892</v>
      </c>
      <c r="AD206" s="13" t="n">
        <f aca="false">IF(ISBLANK(Actuals!AE24),-Helpers!AB4*Assumptions!$B$24,Actuals!AE24)</f>
        <v>-11150.5142</v>
      </c>
      <c r="AE206" s="13" t="n">
        <f aca="false">IF(ISBLANK(Actuals!AF24),-Helpers!AC4*Assumptions!$B$24,Actuals!AF24)</f>
        <v>-11150.5142</v>
      </c>
      <c r="AF206" s="13" t="n">
        <f aca="false">IF(ISBLANK(Actuals!AG24),-Helpers!AD4*Assumptions!$B$24,Actuals!AG24)</f>
        <v>-11150.5142</v>
      </c>
      <c r="AG206" s="13" t="n">
        <f aca="false">IF(ISBLANK(Actuals!AH24),-Helpers!AE4*Assumptions!$B$24,Actuals!AH24)</f>
        <v>-11150.5142</v>
      </c>
      <c r="AH206" s="13" t="n">
        <f aca="false">IF(ISBLANK(Actuals!AI24),-Helpers!AF4*Assumptions!$B$24,Actuals!AI24)</f>
        <v>-11150.5142</v>
      </c>
      <c r="AI206" s="13" t="n">
        <f aca="false">IF(ISBLANK(Actuals!AJ24),-Helpers!AG4*Assumptions!$B$24,Actuals!AJ24)</f>
        <v>-11150.5142</v>
      </c>
      <c r="AJ206" s="13" t="n">
        <f aca="false">IF(ISBLANK(Actuals!AK24),-Helpers!AH4*Assumptions!$B$24,Actuals!AK24)</f>
        <v>-11150.5142</v>
      </c>
      <c r="AK206" s="13" t="n">
        <f aca="false">IF(ISBLANK(Actuals!AL24),-Helpers!AI4*Assumptions!$B$24,Actuals!AL24)</f>
        <v>-11150.5142</v>
      </c>
      <c r="AL206" s="13" t="n">
        <f aca="false">IF(ISBLANK(Actuals!AM24),-Helpers!AJ4*Assumptions!$B$24,Actuals!AM24)</f>
        <v>-11373.524484</v>
      </c>
      <c r="AM206" s="13" t="n">
        <f aca="false">IF(ISBLANK(Actuals!AN24),-Helpers!AK4*Assumptions!$B$24,Actuals!AN24)</f>
        <v>-11373.524484</v>
      </c>
      <c r="AN206" s="13" t="n">
        <f aca="false">IF(ISBLANK(Actuals!AO24),-Helpers!AL4*Assumptions!$B$24,Actuals!AO24)</f>
        <v>-11373.524484</v>
      </c>
      <c r="AO206" s="13" t="n">
        <f aca="false">IF(ISBLANK(Actuals!AP24),-Helpers!AM4*Assumptions!$B$24,Actuals!AP24)</f>
        <v>-11373.524484</v>
      </c>
      <c r="AP206" s="13" t="n">
        <f aca="false">IF(ISBLANK(Actuals!AQ24),-Helpers!AN4*Assumptions!$B$24,Actuals!AQ24)</f>
        <v>-11373.524484</v>
      </c>
      <c r="AQ206" s="13" t="n">
        <f aca="false">IF(ISBLANK(Actuals!AR24),-Helpers!AO4*Assumptions!$B$24,Actuals!AR24)</f>
        <v>-11373.524484</v>
      </c>
      <c r="AR206" s="13" t="n">
        <f aca="false">IF(ISBLANK(Actuals!AS24),-Helpers!AP4*Assumptions!$B$24,Actuals!AS24)</f>
        <v>-11373.524484</v>
      </c>
      <c r="AS206" s="13" t="n">
        <f aca="false">IF(ISBLANK(Actuals!AT24),-Helpers!AQ4*Assumptions!$B$24,Actuals!AT24)</f>
        <v>-11373.524484</v>
      </c>
      <c r="AT206" s="13" t="n">
        <f aca="false">IF(ISBLANK(Actuals!AU24),-Helpers!AR4*Assumptions!$B$24,Actuals!AU24)</f>
        <v>-11373.524484</v>
      </c>
      <c r="AU206" s="13" t="n">
        <f aca="false">IF(ISBLANK(Actuals!AV24),-Helpers!AS4*Assumptions!$B$24,Actuals!AV24)</f>
        <v>-11373.524484</v>
      </c>
      <c r="AV206" s="13" t="n">
        <f aca="false">IF(ISBLANK(Actuals!AW24),-Helpers!AT4*Assumptions!$B$24,Actuals!AW24)</f>
        <v>-11373.524484</v>
      </c>
      <c r="AW206" s="13" t="n">
        <f aca="false">IF(ISBLANK(Actuals!AX24),-Helpers!AU4*Assumptions!$B$24,Actuals!AX24)</f>
        <v>-11373.524484</v>
      </c>
      <c r="AX206" s="13" t="n">
        <f aca="false">IF(ISBLANK(Actuals!AY24),-Helpers!AV4*Assumptions!$B$24,Actuals!AY24)</f>
        <v>-11600.99497368</v>
      </c>
      <c r="AY206" s="13" t="n">
        <f aca="false">IF(ISBLANK(Actuals!AZ24),-Helpers!AW4*Assumptions!$B$24,Actuals!AZ24)</f>
        <v>-11600.99497368</v>
      </c>
      <c r="AZ206" s="13" t="n">
        <f aca="false">IF(ISBLANK(Actuals!BA24),-Helpers!AX4*Assumptions!$B$24,Actuals!BA24)</f>
        <v>-11600.99497368</v>
      </c>
      <c r="BA206" s="13" t="n">
        <f aca="false">IF(ISBLANK(Actuals!BB24),-Helpers!AY4*Assumptions!$B$24,Actuals!BB24)</f>
        <v>-11600.99497368</v>
      </c>
      <c r="BB206" s="13" t="n">
        <f aca="false">IF(ISBLANK(Actuals!BC24),-Helpers!AZ4*Assumptions!$B$24,Actuals!BC24)</f>
        <v>-11600.99497368</v>
      </c>
      <c r="BC206" s="13" t="n">
        <f aca="false">IF(ISBLANK(Actuals!BD24),-Helpers!BA4*Assumptions!$B$24,Actuals!BD24)</f>
        <v>-11600.99497368</v>
      </c>
      <c r="BD206" s="13" t="n">
        <f aca="false">IF(ISBLANK(Actuals!BE24),-Helpers!BB4*Assumptions!$B$24,Actuals!BE24)</f>
        <v>-11600.99497368</v>
      </c>
      <c r="BE206" s="13" t="n">
        <f aca="false">IF(ISBLANK(Actuals!BF24),-Helpers!BC4*Assumptions!$B$24,Actuals!BF24)</f>
        <v>-11600.99497368</v>
      </c>
      <c r="BF206" s="13" t="n">
        <f aca="false">IF(ISBLANK(Actuals!BG24),-Helpers!BD4*Assumptions!$B$24,Actuals!BG24)</f>
        <v>-11600.99497368</v>
      </c>
      <c r="BG206" s="13" t="n">
        <f aca="false">IF(ISBLANK(Actuals!BH24),-Helpers!BE4*Assumptions!$B$24,Actuals!BH24)</f>
        <v>-11600.99497368</v>
      </c>
      <c r="BH206" s="13" t="n">
        <f aca="false">IF(ISBLANK(Actuals!BI24),-Helpers!BF4*Assumptions!$B$24,Actuals!BI24)</f>
        <v>-11600.99497368</v>
      </c>
      <c r="BI206" s="13" t="n">
        <f aca="false">IF(ISBLANK(Actuals!BJ24),-Helpers!BG4*Assumptions!$B$24,Actuals!BJ24)</f>
        <v>-11600.99497368</v>
      </c>
      <c r="BJ206" s="13" t="n">
        <f aca="false">IF(ISBLANK(Actuals!BK24),-Helpers!BH4*Assumptions!$B$24,Actuals!BK24)</f>
        <v>-11833.0148731536</v>
      </c>
      <c r="BK206" s="13" t="n">
        <f aca="false">IF(ISBLANK(Actuals!BL24),-Helpers!BI4*Assumptions!$B$24,Actuals!BL24)</f>
        <v>-11833.0148731536</v>
      </c>
      <c r="BL206" s="13" t="n">
        <f aca="false">IF(ISBLANK(Actuals!BM24),-Helpers!BJ4*Assumptions!$B$24,Actuals!BM24)</f>
        <v>-11833.0148731536</v>
      </c>
      <c r="BM206" s="13" t="n">
        <f aca="false">IF(ISBLANK(Actuals!BN24),-Helpers!BK4*Assumptions!$B$24,Actuals!BN24)</f>
        <v>-11833.0148731536</v>
      </c>
      <c r="BN206" s="13" t="n">
        <f aca="false">IF(ISBLANK(Actuals!BO24),-Helpers!BL4*Assumptions!$B$24,Actuals!BO24)</f>
        <v>-11833.0148731536</v>
      </c>
      <c r="BO206" s="13" t="n">
        <f aca="false">IF(ISBLANK(Actuals!BP24),-Helpers!BM4*Assumptions!$B$24,Actuals!BP24)</f>
        <v>-11833.0148731536</v>
      </c>
      <c r="BP206" s="13" t="n">
        <f aca="false">IF(ISBLANK(Actuals!BQ24),-Helpers!BN4*Assumptions!$B$24,Actuals!BQ24)</f>
        <v>-11833.0148731536</v>
      </c>
      <c r="BQ206" s="13" t="n">
        <f aca="false">IF(ISBLANK(Actuals!BR24),-Helpers!BO4*Assumptions!$B$24,Actuals!BR24)</f>
        <v>-11833.0148731536</v>
      </c>
      <c r="BR206" s="13" t="n">
        <f aca="false">IF(ISBLANK(Actuals!BS24),-Helpers!BP4*Assumptions!$B$24,Actuals!BS24)</f>
        <v>-11833.0148731536</v>
      </c>
      <c r="BS206" s="13" t="n">
        <f aca="false">IF(ISBLANK(Actuals!BT24),-Helpers!BQ4*Assumptions!$B$24,Actuals!BT24)</f>
        <v>-11833.0148731536</v>
      </c>
      <c r="BT206" s="13" t="n">
        <f aca="false">IF(ISBLANK(Actuals!BU24),-Helpers!BR4*Assumptions!$B$24,Actuals!BU24)</f>
        <v>-11833.0148731536</v>
      </c>
      <c r="BU206" s="13" t="n">
        <f aca="false">IF(ISBLANK(Actuals!BV24),-Helpers!BS4*Assumptions!$B$24,Actuals!BV24)</f>
        <v>-11833.0148731536</v>
      </c>
      <c r="BV206" s="13" t="n">
        <f aca="false">IF(ISBLANK(Actuals!BW24),-Helpers!BT4*Assumptions!$B$24,Actuals!BW24)</f>
        <v>-12069.6751706167</v>
      </c>
      <c r="BW206" s="13" t="n">
        <f aca="false">IF(ISBLANK(Actuals!BX24),-Helpers!BU4*Assumptions!$B$24,Actuals!BX24)</f>
        <v>-12069.6751706167</v>
      </c>
      <c r="BX206" s="13" t="n">
        <f aca="false">IF(ISBLANK(Actuals!BY24),-Helpers!BV4*Assumptions!$B$24,Actuals!BY24)</f>
        <v>-12069.6751706167</v>
      </c>
      <c r="BY206" s="13" t="n">
        <f aca="false">IF(ISBLANK(Actuals!BZ24),-Helpers!BW4*Assumptions!$B$24,Actuals!BZ24)</f>
        <v>-12069.6751706167</v>
      </c>
      <c r="BZ206" s="13" t="n">
        <f aca="false">IF(ISBLANK(Actuals!CA24),-Helpers!BX4*Assumptions!$B$24,Actuals!CA24)</f>
        <v>-12069.6751706167</v>
      </c>
      <c r="CA206" s="13" t="n">
        <f aca="false">IF(ISBLANK(Actuals!CB24),-Helpers!BY4*Assumptions!$B$24,Actuals!CB24)</f>
        <v>-12069.6751706167</v>
      </c>
      <c r="CB206" s="13" t="n">
        <f aca="false">IF(ISBLANK(Actuals!CC24),-Helpers!BZ4*Assumptions!$B$24,Actuals!CC24)</f>
        <v>-12069.6751706167</v>
      </c>
      <c r="CC206" s="13" t="n">
        <f aca="false">IF(ISBLANK(Actuals!CD24),-Helpers!CA4*Assumptions!$B$24,Actuals!CD24)</f>
        <v>-12069.6751706167</v>
      </c>
      <c r="CD206" s="13" t="n">
        <f aca="false">IF(ISBLANK(Actuals!CE24),-Helpers!CB4*Assumptions!$B$24,Actuals!CE24)</f>
        <v>-12069.6751706167</v>
      </c>
      <c r="CE206" s="13" t="n">
        <f aca="false">IF(ISBLANK(Actuals!CF24),-Helpers!CC4*Assumptions!$B$24,Actuals!CF24)</f>
        <v>-12069.6751706167</v>
      </c>
      <c r="CF206" s="13" t="n">
        <f aca="false">IF(ISBLANK(Actuals!CG24),-Helpers!CD4*Assumptions!$B$24,Actuals!CG24)</f>
        <v>-12069.6751706167</v>
      </c>
      <c r="CG206" s="13" t="n">
        <f aca="false">IF(ISBLANK(Actuals!CH24),-Helpers!CE4*Assumptions!$B$24,Actuals!CH24)</f>
        <v>-12069.6751706167</v>
      </c>
      <c r="CH206" s="13" t="n">
        <f aca="false">IF(ISBLANK(Actuals!CI24),-Helpers!CF4*Assumptions!$B$24,Actuals!CI24)</f>
        <v>-12311.068674029</v>
      </c>
      <c r="CI206" s="13" t="n">
        <f aca="false">IF(ISBLANK(Actuals!CJ24),-Helpers!CG4*Assumptions!$B$24,Actuals!CJ24)</f>
        <v>-12311.068674029</v>
      </c>
      <c r="CJ206" s="13" t="n">
        <f aca="false">IF(ISBLANK(Actuals!CK24),-Helpers!CH4*Assumptions!$B$24,Actuals!CK24)</f>
        <v>-12311.068674029</v>
      </c>
      <c r="CK206" s="13" t="n">
        <f aca="false">IF(ISBLANK(Actuals!CL24),-Helpers!CI4*Assumptions!$B$24,Actuals!CL24)</f>
        <v>-12311.068674029</v>
      </c>
      <c r="CL206" s="13" t="n">
        <f aca="false">IF(ISBLANK(Actuals!CM24),-Helpers!CJ4*Assumptions!$B$24,Actuals!CM24)</f>
        <v>-12311.068674029</v>
      </c>
      <c r="CM206" s="13" t="n">
        <f aca="false">IF(ISBLANK(Actuals!CN24),-Helpers!CK4*Assumptions!$B$24,Actuals!CN24)</f>
        <v>-12311.068674029</v>
      </c>
      <c r="CN206" s="13" t="n">
        <f aca="false">IF(ISBLANK(Actuals!CO24),-Helpers!CL4*Assumptions!$B$24,Actuals!CO24)</f>
        <v>-12311.068674029</v>
      </c>
      <c r="CO206" s="13" t="n">
        <f aca="false">IF(ISBLANK(Actuals!CP24),-Helpers!CM4*Assumptions!$B$24,Actuals!CP24)</f>
        <v>-12311.068674029</v>
      </c>
      <c r="CP206" s="13" t="n">
        <f aca="false">IF(ISBLANK(Actuals!CQ24),-Helpers!CN4*Assumptions!$B$24,Actuals!CQ24)</f>
        <v>-12311.068674029</v>
      </c>
      <c r="CQ206" s="13" t="n">
        <f aca="false">IF(ISBLANK(Actuals!CR24),-Helpers!CO4*Assumptions!$B$24,Actuals!CR24)</f>
        <v>-12311.068674029</v>
      </c>
      <c r="CR206" s="13" t="n">
        <f aca="false">IF(ISBLANK(Actuals!CS24),-Helpers!CP4*Assumptions!$B$24,Actuals!CS24)</f>
        <v>-12311.068674029</v>
      </c>
      <c r="CS206" s="13" t="n">
        <f aca="false">IF(ISBLANK(Actuals!CT24),-Helpers!CQ4*Assumptions!$B$24,Actuals!CT24)</f>
        <v>-12311.068674029</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-966.393</v>
      </c>
      <c r="L207" s="13" t="n">
        <f aca="false">IF(ISBLANK(Actuals!M25),-Helpers!J4*Assumptions!$B$27,Actuals!M25)</f>
        <v>-966.393</v>
      </c>
      <c r="M207" s="13" t="n">
        <f aca="false">IF(ISBLANK(Actuals!N25),-Helpers!K4*Assumptions!$B$27,Actuals!N25)</f>
        <v>-1006.393</v>
      </c>
      <c r="N207" s="13" t="n">
        <f aca="false">IF(ISBLANK(Actuals!O25),-Helpers!L4*Assumptions!$B$27,Actuals!O25)</f>
        <v>-977.018</v>
      </c>
      <c r="O207" s="13" t="n">
        <f aca="false">IF(ISBLANK(Actuals!P25),-Helpers!M4*Assumptions!$B$27,Actuals!P25)</f>
        <v>-1008.268</v>
      </c>
      <c r="P207" s="13" t="n">
        <f aca="false">IF(ISBLANK(Actuals!Q25),-Helpers!N4*Assumptions!$B$27,Actuals!Q25)</f>
        <v>-1008.268</v>
      </c>
      <c r="Q207" s="13" t="n">
        <f aca="false">IF(ISBLANK(Actuals!R25),-Helpers!O4*Assumptions!$B$27,Actuals!R25)</f>
        <v>-1008.268</v>
      </c>
      <c r="R207" s="13" t="n">
        <f aca="false">IF(ISBLANK(Actuals!S25),-Helpers!P4*Assumptions!$B$27,Actuals!S25)</f>
        <v>-1008.268</v>
      </c>
      <c r="S207" s="13" t="n">
        <f aca="false">IF(ISBLANK(Actuals!T25),-Helpers!Q4*Assumptions!$B$27,Actuals!T25)</f>
        <v>-1152.018</v>
      </c>
      <c r="T207" s="13" t="n">
        <f aca="false">IF(ISBLANK(Actuals!U25),-Helpers!R4*Assumptions!$B$27,Actuals!U25)</f>
        <v>-1152.018</v>
      </c>
      <c r="U207" s="13" t="n">
        <f aca="false">IF(ISBLANK(Actuals!V25),-Helpers!S4*Assumptions!$B$27,Actuals!V25)</f>
        <v>-1152.018</v>
      </c>
      <c r="V207" s="13" t="n">
        <f aca="false">IF(ISBLANK(Actuals!W25),-Helpers!T4*Assumptions!$B$27,Actuals!W25)</f>
        <v>-1152.018</v>
      </c>
      <c r="W207" s="13" t="n">
        <f aca="false">IF(ISBLANK(Actuals!X25),-Helpers!U4*Assumptions!$B$27,Actuals!X25)</f>
        <v>-1152.018</v>
      </c>
      <c r="X207" s="13" t="n">
        <f aca="false">IF(ISBLANK(Actuals!Y25),-Helpers!V4*Assumptions!$B$27,Actuals!Y25)</f>
        <v>-1152.018</v>
      </c>
      <c r="Y207" s="13" t="n">
        <f aca="false">IF(ISBLANK(Actuals!Z25),-Helpers!W4*Assumptions!$B$27,Actuals!Z25)</f>
        <v>-1152.018</v>
      </c>
      <c r="Z207" s="13" t="n">
        <f aca="false">IF(ISBLANK(Actuals!AA25),-Helpers!X4*Assumptions!$B$27,Actuals!AA25)</f>
        <v>-1101.10836</v>
      </c>
      <c r="AA207" s="13" t="n">
        <f aca="false">IF(ISBLANK(Actuals!AB25),-Helpers!Y4*Assumptions!$B$27,Actuals!AB25)</f>
        <v>-1101.10836</v>
      </c>
      <c r="AB207" s="13" t="n">
        <f aca="false">IF(ISBLANK(Actuals!AC25),-Helpers!Z4*Assumptions!$B$27,Actuals!AC25)</f>
        <v>-1028.43336</v>
      </c>
      <c r="AC207" s="13" t="n">
        <f aca="false">IF(ISBLANK(Actuals!AD25),-Helpers!AA4*Assumptions!$B$27,Actuals!AD25)</f>
        <v>-1028.43336</v>
      </c>
      <c r="AD207" s="13" t="n">
        <f aca="false">IF(ISBLANK(Actuals!AE25),-Helpers!AB4*Assumptions!$B$27,Actuals!AE25)</f>
        <v>-955.75836</v>
      </c>
      <c r="AE207" s="13" t="n">
        <f aca="false">IF(ISBLANK(Actuals!AF25),-Helpers!AC4*Assumptions!$B$27,Actuals!AF25)</f>
        <v>-955.75836</v>
      </c>
      <c r="AF207" s="13" t="n">
        <f aca="false">IF(ISBLANK(Actuals!AG25),-Helpers!AD4*Assumptions!$B$27,Actuals!AG25)</f>
        <v>-955.75836</v>
      </c>
      <c r="AG207" s="13" t="n">
        <f aca="false">IF(ISBLANK(Actuals!AH25),-Helpers!AE4*Assumptions!$B$27,Actuals!AH25)</f>
        <v>-955.75836</v>
      </c>
      <c r="AH207" s="13" t="n">
        <f aca="false">IF(ISBLANK(Actuals!AI25),-Helpers!AF4*Assumptions!$B$27,Actuals!AI25)</f>
        <v>-955.75836</v>
      </c>
      <c r="AI207" s="13" t="n">
        <f aca="false">IF(ISBLANK(Actuals!AJ25),-Helpers!AG4*Assumptions!$B$27,Actuals!AJ25)</f>
        <v>-955.75836</v>
      </c>
      <c r="AJ207" s="13" t="n">
        <f aca="false">IF(ISBLANK(Actuals!AK25),-Helpers!AH4*Assumptions!$B$27,Actuals!AK25)</f>
        <v>-955.75836</v>
      </c>
      <c r="AK207" s="13" t="n">
        <f aca="false">IF(ISBLANK(Actuals!AL25),-Helpers!AI4*Assumptions!$B$27,Actuals!AL25)</f>
        <v>-955.75836</v>
      </c>
      <c r="AL207" s="13" t="n">
        <f aca="false">IF(ISBLANK(Actuals!AM25),-Helpers!AJ4*Assumptions!$B$27,Actuals!AM25)</f>
        <v>-974.8735272</v>
      </c>
      <c r="AM207" s="13" t="n">
        <f aca="false">IF(ISBLANK(Actuals!AN25),-Helpers!AK4*Assumptions!$B$27,Actuals!AN25)</f>
        <v>-974.8735272</v>
      </c>
      <c r="AN207" s="13" t="n">
        <f aca="false">IF(ISBLANK(Actuals!AO25),-Helpers!AL4*Assumptions!$B$27,Actuals!AO25)</f>
        <v>-974.8735272</v>
      </c>
      <c r="AO207" s="13" t="n">
        <f aca="false">IF(ISBLANK(Actuals!AP25),-Helpers!AM4*Assumptions!$B$27,Actuals!AP25)</f>
        <v>-974.8735272</v>
      </c>
      <c r="AP207" s="13" t="n">
        <f aca="false">IF(ISBLANK(Actuals!AQ25),-Helpers!AN4*Assumptions!$B$27,Actuals!AQ25)</f>
        <v>-974.8735272</v>
      </c>
      <c r="AQ207" s="13" t="n">
        <f aca="false">IF(ISBLANK(Actuals!AR25),-Helpers!AO4*Assumptions!$B$27,Actuals!AR25)</f>
        <v>-974.8735272</v>
      </c>
      <c r="AR207" s="13" t="n">
        <f aca="false">IF(ISBLANK(Actuals!AS25),-Helpers!AP4*Assumptions!$B$27,Actuals!AS25)</f>
        <v>-974.8735272</v>
      </c>
      <c r="AS207" s="13" t="n">
        <f aca="false">IF(ISBLANK(Actuals!AT25),-Helpers!AQ4*Assumptions!$B$27,Actuals!AT25)</f>
        <v>-974.8735272</v>
      </c>
      <c r="AT207" s="13" t="n">
        <f aca="false">IF(ISBLANK(Actuals!AU25),-Helpers!AR4*Assumptions!$B$27,Actuals!AU25)</f>
        <v>-974.8735272</v>
      </c>
      <c r="AU207" s="13" t="n">
        <f aca="false">IF(ISBLANK(Actuals!AV25),-Helpers!AS4*Assumptions!$B$27,Actuals!AV25)</f>
        <v>-974.8735272</v>
      </c>
      <c r="AV207" s="13" t="n">
        <f aca="false">IF(ISBLANK(Actuals!AW25),-Helpers!AT4*Assumptions!$B$27,Actuals!AW25)</f>
        <v>-974.8735272</v>
      </c>
      <c r="AW207" s="13" t="n">
        <f aca="false">IF(ISBLANK(Actuals!AX25),-Helpers!AU4*Assumptions!$B$27,Actuals!AX25)</f>
        <v>-974.8735272</v>
      </c>
      <c r="AX207" s="13" t="n">
        <f aca="false">IF(ISBLANK(Actuals!AY25),-Helpers!AV4*Assumptions!$B$27,Actuals!AY25)</f>
        <v>-994.370997744</v>
      </c>
      <c r="AY207" s="13" t="n">
        <f aca="false">IF(ISBLANK(Actuals!AZ25),-Helpers!AW4*Assumptions!$B$27,Actuals!AZ25)</f>
        <v>-994.370997744</v>
      </c>
      <c r="AZ207" s="13" t="n">
        <f aca="false">IF(ISBLANK(Actuals!BA25),-Helpers!AX4*Assumptions!$B$27,Actuals!BA25)</f>
        <v>-994.370997744</v>
      </c>
      <c r="BA207" s="13" t="n">
        <f aca="false">IF(ISBLANK(Actuals!BB25),-Helpers!AY4*Assumptions!$B$27,Actuals!BB25)</f>
        <v>-994.370997744</v>
      </c>
      <c r="BB207" s="13" t="n">
        <f aca="false">IF(ISBLANK(Actuals!BC25),-Helpers!AZ4*Assumptions!$B$27,Actuals!BC25)</f>
        <v>-994.370997744</v>
      </c>
      <c r="BC207" s="13" t="n">
        <f aca="false">IF(ISBLANK(Actuals!BD25),-Helpers!BA4*Assumptions!$B$27,Actuals!BD25)</f>
        <v>-994.370997744</v>
      </c>
      <c r="BD207" s="13" t="n">
        <f aca="false">IF(ISBLANK(Actuals!BE25),-Helpers!BB4*Assumptions!$B$27,Actuals!BE25)</f>
        <v>-994.370997744</v>
      </c>
      <c r="BE207" s="13" t="n">
        <f aca="false">IF(ISBLANK(Actuals!BF25),-Helpers!BC4*Assumptions!$B$27,Actuals!BF25)</f>
        <v>-994.370997744</v>
      </c>
      <c r="BF207" s="13" t="n">
        <f aca="false">IF(ISBLANK(Actuals!BG25),-Helpers!BD4*Assumptions!$B$27,Actuals!BG25)</f>
        <v>-994.370997744</v>
      </c>
      <c r="BG207" s="13" t="n">
        <f aca="false">IF(ISBLANK(Actuals!BH25),-Helpers!BE4*Assumptions!$B$27,Actuals!BH25)</f>
        <v>-994.370997744</v>
      </c>
      <c r="BH207" s="13" t="n">
        <f aca="false">IF(ISBLANK(Actuals!BI25),-Helpers!BF4*Assumptions!$B$27,Actuals!BI25)</f>
        <v>-994.370997744</v>
      </c>
      <c r="BI207" s="13" t="n">
        <f aca="false">IF(ISBLANK(Actuals!BJ25),-Helpers!BG4*Assumptions!$B$27,Actuals!BJ25)</f>
        <v>-994.370997744</v>
      </c>
      <c r="BJ207" s="13" t="n">
        <f aca="false">IF(ISBLANK(Actuals!BK25),-Helpers!BH4*Assumptions!$B$27,Actuals!BK25)</f>
        <v>-1014.25841769888</v>
      </c>
      <c r="BK207" s="13" t="n">
        <f aca="false">IF(ISBLANK(Actuals!BL25),-Helpers!BI4*Assumptions!$B$27,Actuals!BL25)</f>
        <v>-1014.25841769888</v>
      </c>
      <c r="BL207" s="13" t="n">
        <f aca="false">IF(ISBLANK(Actuals!BM25),-Helpers!BJ4*Assumptions!$B$27,Actuals!BM25)</f>
        <v>-1014.25841769888</v>
      </c>
      <c r="BM207" s="13" t="n">
        <f aca="false">IF(ISBLANK(Actuals!BN25),-Helpers!BK4*Assumptions!$B$27,Actuals!BN25)</f>
        <v>-1014.25841769888</v>
      </c>
      <c r="BN207" s="13" t="n">
        <f aca="false">IF(ISBLANK(Actuals!BO25),-Helpers!BL4*Assumptions!$B$27,Actuals!BO25)</f>
        <v>-1014.25841769888</v>
      </c>
      <c r="BO207" s="13" t="n">
        <f aca="false">IF(ISBLANK(Actuals!BP25),-Helpers!BM4*Assumptions!$B$27,Actuals!BP25)</f>
        <v>-1014.25841769888</v>
      </c>
      <c r="BP207" s="13" t="n">
        <f aca="false">IF(ISBLANK(Actuals!BQ25),-Helpers!BN4*Assumptions!$B$27,Actuals!BQ25)</f>
        <v>-1014.25841769888</v>
      </c>
      <c r="BQ207" s="13" t="n">
        <f aca="false">IF(ISBLANK(Actuals!BR25),-Helpers!BO4*Assumptions!$B$27,Actuals!BR25)</f>
        <v>-1014.25841769888</v>
      </c>
      <c r="BR207" s="13" t="n">
        <f aca="false">IF(ISBLANK(Actuals!BS25),-Helpers!BP4*Assumptions!$B$27,Actuals!BS25)</f>
        <v>-1014.25841769888</v>
      </c>
      <c r="BS207" s="13" t="n">
        <f aca="false">IF(ISBLANK(Actuals!BT25),-Helpers!BQ4*Assumptions!$B$27,Actuals!BT25)</f>
        <v>-1014.25841769888</v>
      </c>
      <c r="BT207" s="13" t="n">
        <f aca="false">IF(ISBLANK(Actuals!BU25),-Helpers!BR4*Assumptions!$B$27,Actuals!BU25)</f>
        <v>-1014.25841769888</v>
      </c>
      <c r="BU207" s="13" t="n">
        <f aca="false">IF(ISBLANK(Actuals!BV25),-Helpers!BS4*Assumptions!$B$27,Actuals!BV25)</f>
        <v>-1014.25841769888</v>
      </c>
      <c r="BV207" s="13" t="n">
        <f aca="false">IF(ISBLANK(Actuals!BW25),-Helpers!BT4*Assumptions!$B$27,Actuals!BW25)</f>
        <v>-1034.54358605286</v>
      </c>
      <c r="BW207" s="13" t="n">
        <f aca="false">IF(ISBLANK(Actuals!BX25),-Helpers!BU4*Assumptions!$B$27,Actuals!BX25)</f>
        <v>-1034.54358605286</v>
      </c>
      <c r="BX207" s="13" t="n">
        <f aca="false">IF(ISBLANK(Actuals!BY25),-Helpers!BV4*Assumptions!$B$27,Actuals!BY25)</f>
        <v>-1034.54358605286</v>
      </c>
      <c r="BY207" s="13" t="n">
        <f aca="false">IF(ISBLANK(Actuals!BZ25),-Helpers!BW4*Assumptions!$B$27,Actuals!BZ25)</f>
        <v>-1034.54358605286</v>
      </c>
      <c r="BZ207" s="13" t="n">
        <f aca="false">IF(ISBLANK(Actuals!CA25),-Helpers!BX4*Assumptions!$B$27,Actuals!CA25)</f>
        <v>-1034.54358605286</v>
      </c>
      <c r="CA207" s="13" t="n">
        <f aca="false">IF(ISBLANK(Actuals!CB25),-Helpers!BY4*Assumptions!$B$27,Actuals!CB25)</f>
        <v>-1034.54358605286</v>
      </c>
      <c r="CB207" s="13" t="n">
        <f aca="false">IF(ISBLANK(Actuals!CC25),-Helpers!BZ4*Assumptions!$B$27,Actuals!CC25)</f>
        <v>-1034.54358605286</v>
      </c>
      <c r="CC207" s="13" t="n">
        <f aca="false">IF(ISBLANK(Actuals!CD25),-Helpers!CA4*Assumptions!$B$27,Actuals!CD25)</f>
        <v>-1034.54358605286</v>
      </c>
      <c r="CD207" s="13" t="n">
        <f aca="false">IF(ISBLANK(Actuals!CE25),-Helpers!CB4*Assumptions!$B$27,Actuals!CE25)</f>
        <v>-1034.54358605286</v>
      </c>
      <c r="CE207" s="13" t="n">
        <f aca="false">IF(ISBLANK(Actuals!CF25),-Helpers!CC4*Assumptions!$B$27,Actuals!CF25)</f>
        <v>-1034.54358605286</v>
      </c>
      <c r="CF207" s="13" t="n">
        <f aca="false">IF(ISBLANK(Actuals!CG25),-Helpers!CD4*Assumptions!$B$27,Actuals!CG25)</f>
        <v>-1034.54358605286</v>
      </c>
      <c r="CG207" s="13" t="n">
        <f aca="false">IF(ISBLANK(Actuals!CH25),-Helpers!CE4*Assumptions!$B$27,Actuals!CH25)</f>
        <v>-1034.54358605286</v>
      </c>
      <c r="CH207" s="13" t="n">
        <f aca="false">IF(ISBLANK(Actuals!CI25),-Helpers!CF4*Assumptions!$B$27,Actuals!CI25)</f>
        <v>-1055.23445777391</v>
      </c>
      <c r="CI207" s="13" t="n">
        <f aca="false">IF(ISBLANK(Actuals!CJ25),-Helpers!CG4*Assumptions!$B$27,Actuals!CJ25)</f>
        <v>-1055.23445777391</v>
      </c>
      <c r="CJ207" s="13" t="n">
        <f aca="false">IF(ISBLANK(Actuals!CK25),-Helpers!CH4*Assumptions!$B$27,Actuals!CK25)</f>
        <v>-1055.23445777391</v>
      </c>
      <c r="CK207" s="13" t="n">
        <f aca="false">IF(ISBLANK(Actuals!CL25),-Helpers!CI4*Assumptions!$B$27,Actuals!CL25)</f>
        <v>-1055.23445777391</v>
      </c>
      <c r="CL207" s="13" t="n">
        <f aca="false">IF(ISBLANK(Actuals!CM25),-Helpers!CJ4*Assumptions!$B$27,Actuals!CM25)</f>
        <v>-1055.23445777391</v>
      </c>
      <c r="CM207" s="13" t="n">
        <f aca="false">IF(ISBLANK(Actuals!CN25),-Helpers!CK4*Assumptions!$B$27,Actuals!CN25)</f>
        <v>-1055.23445777391</v>
      </c>
      <c r="CN207" s="13" t="n">
        <f aca="false">IF(ISBLANK(Actuals!CO25),-Helpers!CL4*Assumptions!$B$27,Actuals!CO25)</f>
        <v>-1055.23445777391</v>
      </c>
      <c r="CO207" s="13" t="n">
        <f aca="false">IF(ISBLANK(Actuals!CP25),-Helpers!CM4*Assumptions!$B$27,Actuals!CP25)</f>
        <v>-1055.23445777391</v>
      </c>
      <c r="CP207" s="13" t="n">
        <f aca="false">IF(ISBLANK(Actuals!CQ25),-Helpers!CN4*Assumptions!$B$27,Actuals!CQ25)</f>
        <v>-1055.23445777391</v>
      </c>
      <c r="CQ207" s="13" t="n">
        <f aca="false">IF(ISBLANK(Actuals!CR25),-Helpers!CO4*Assumptions!$B$27,Actuals!CR25)</f>
        <v>-1055.23445777391</v>
      </c>
      <c r="CR207" s="13" t="n">
        <f aca="false">IF(ISBLANK(Actuals!CS25),-Helpers!CP4*Assumptions!$B$27,Actuals!CS25)</f>
        <v>-1055.23445777391</v>
      </c>
      <c r="CS207" s="13" t="n">
        <f aca="false">IF(ISBLANK(Actuals!CT25),-Helpers!CQ4*Assumptions!$B$27,Actuals!CT25)</f>
        <v>-1055.23445777391</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-1610.655</v>
      </c>
      <c r="L208" s="13" t="n">
        <f aca="false">IF(ISBLANK(Actuals!M26),-Helpers!J4*Assumptions!$B$21,Actuals!M26)</f>
        <v>-1610.655</v>
      </c>
      <c r="M208" s="13" t="n">
        <f aca="false">IF(ISBLANK(Actuals!N26),-Helpers!K4*Assumptions!$B$21,Actuals!N26)</f>
        <v>-1677.32166666667</v>
      </c>
      <c r="N208" s="13" t="n">
        <f aca="false">IF(ISBLANK(Actuals!O26),-Helpers!L4*Assumptions!$B$21,Actuals!O26)</f>
        <v>-1628.36333333333</v>
      </c>
      <c r="O208" s="13" t="n">
        <f aca="false">IF(ISBLANK(Actuals!P26),-Helpers!M4*Assumptions!$B$21,Actuals!P26)</f>
        <v>-1680.44666666667</v>
      </c>
      <c r="P208" s="13" t="n">
        <f aca="false">IF(ISBLANK(Actuals!Q26),-Helpers!N4*Assumptions!$B$21,Actuals!Q26)</f>
        <v>-1680.44666666667</v>
      </c>
      <c r="Q208" s="13" t="n">
        <f aca="false">IF(ISBLANK(Actuals!R26),-Helpers!O4*Assumptions!$B$21,Actuals!R26)</f>
        <v>-1680.44666666667</v>
      </c>
      <c r="R208" s="13" t="n">
        <f aca="false">IF(ISBLANK(Actuals!S26),-Helpers!P4*Assumptions!$B$21,Actuals!S26)</f>
        <v>-1680.44666666667</v>
      </c>
      <c r="S208" s="13" t="n">
        <f aca="false">IF(ISBLANK(Actuals!T26),-Helpers!Q4*Assumptions!$B$21,Actuals!T26)</f>
        <v>-1920.03</v>
      </c>
      <c r="T208" s="13" t="n">
        <f aca="false">IF(ISBLANK(Actuals!U26),-Helpers!R4*Assumptions!$B$21,Actuals!U26)</f>
        <v>-1920.03</v>
      </c>
      <c r="U208" s="13" t="n">
        <f aca="false">IF(ISBLANK(Actuals!V26),-Helpers!S4*Assumptions!$B$21,Actuals!V26)</f>
        <v>-1920.03</v>
      </c>
      <c r="V208" s="13" t="n">
        <f aca="false">IF(ISBLANK(Actuals!W26),-Helpers!T4*Assumptions!$B$21,Actuals!W26)</f>
        <v>-1920.03</v>
      </c>
      <c r="W208" s="13" t="n">
        <f aca="false">IF(ISBLANK(Actuals!X26),-Helpers!U4*Assumptions!$B$21,Actuals!X26)</f>
        <v>-1920.03</v>
      </c>
      <c r="X208" s="13" t="n">
        <f aca="false">IF(ISBLANK(Actuals!Y26),-Helpers!V4*Assumptions!$B$21,Actuals!Y26)</f>
        <v>-1920.03</v>
      </c>
      <c r="Y208" s="13" t="n">
        <f aca="false">IF(ISBLANK(Actuals!Z26),-Helpers!W4*Assumptions!$B$21,Actuals!Z26)</f>
        <v>-1920.03</v>
      </c>
      <c r="Z208" s="13" t="n">
        <f aca="false">IF(ISBLANK(Actuals!AA26),-Helpers!X4*Assumptions!$B$21,Actuals!AA26)</f>
        <v>-1835.1806</v>
      </c>
      <c r="AA208" s="13" t="n">
        <f aca="false">IF(ISBLANK(Actuals!AB26),-Helpers!Y4*Assumptions!$B$21,Actuals!AB26)</f>
        <v>-1835.1806</v>
      </c>
      <c r="AB208" s="13" t="n">
        <f aca="false">IF(ISBLANK(Actuals!AC26),-Helpers!Z4*Assumptions!$B$21,Actuals!AC26)</f>
        <v>-1714.0556</v>
      </c>
      <c r="AC208" s="13" t="n">
        <f aca="false">IF(ISBLANK(Actuals!AD26),-Helpers!AA4*Assumptions!$B$21,Actuals!AD26)</f>
        <v>-1714.0556</v>
      </c>
      <c r="AD208" s="13" t="n">
        <f aca="false">IF(ISBLANK(Actuals!AE26),-Helpers!AB4*Assumptions!$B$21,Actuals!AE26)</f>
        <v>-1592.9306</v>
      </c>
      <c r="AE208" s="13" t="n">
        <f aca="false">IF(ISBLANK(Actuals!AF26),-Helpers!AC4*Assumptions!$B$21,Actuals!AF26)</f>
        <v>-1592.9306</v>
      </c>
      <c r="AF208" s="13" t="n">
        <f aca="false">IF(ISBLANK(Actuals!AG26),-Helpers!AD4*Assumptions!$B$21,Actuals!AG26)</f>
        <v>-1592.9306</v>
      </c>
      <c r="AG208" s="13" t="n">
        <f aca="false">IF(ISBLANK(Actuals!AH26),-Helpers!AE4*Assumptions!$B$21,Actuals!AH26)</f>
        <v>-1592.9306</v>
      </c>
      <c r="AH208" s="13" t="n">
        <f aca="false">IF(ISBLANK(Actuals!AI26),-Helpers!AF4*Assumptions!$B$21,Actuals!AI26)</f>
        <v>-1592.9306</v>
      </c>
      <c r="AI208" s="13" t="n">
        <f aca="false">IF(ISBLANK(Actuals!AJ26),-Helpers!AG4*Assumptions!$B$21,Actuals!AJ26)</f>
        <v>-1592.9306</v>
      </c>
      <c r="AJ208" s="13" t="n">
        <f aca="false">IF(ISBLANK(Actuals!AK26),-Helpers!AH4*Assumptions!$B$21,Actuals!AK26)</f>
        <v>-1592.9306</v>
      </c>
      <c r="AK208" s="13" t="n">
        <f aca="false">IF(ISBLANK(Actuals!AL26),-Helpers!AI4*Assumptions!$B$21,Actuals!AL26)</f>
        <v>-1592.9306</v>
      </c>
      <c r="AL208" s="13" t="n">
        <f aca="false">IF(ISBLANK(Actuals!AM26),-Helpers!AJ4*Assumptions!$B$21,Actuals!AM26)</f>
        <v>-1624.789212</v>
      </c>
      <c r="AM208" s="13" t="n">
        <f aca="false">IF(ISBLANK(Actuals!AN26),-Helpers!AK4*Assumptions!$B$21,Actuals!AN26)</f>
        <v>-1624.789212</v>
      </c>
      <c r="AN208" s="13" t="n">
        <f aca="false">IF(ISBLANK(Actuals!AO26),-Helpers!AL4*Assumptions!$B$21,Actuals!AO26)</f>
        <v>-1624.789212</v>
      </c>
      <c r="AO208" s="13" t="n">
        <f aca="false">IF(ISBLANK(Actuals!AP26),-Helpers!AM4*Assumptions!$B$21,Actuals!AP26)</f>
        <v>-1624.789212</v>
      </c>
      <c r="AP208" s="13" t="n">
        <f aca="false">IF(ISBLANK(Actuals!AQ26),-Helpers!AN4*Assumptions!$B$21,Actuals!AQ26)</f>
        <v>-1624.789212</v>
      </c>
      <c r="AQ208" s="13" t="n">
        <f aca="false">IF(ISBLANK(Actuals!AR26),-Helpers!AO4*Assumptions!$B$21,Actuals!AR26)</f>
        <v>-1624.789212</v>
      </c>
      <c r="AR208" s="13" t="n">
        <f aca="false">IF(ISBLANK(Actuals!AS26),-Helpers!AP4*Assumptions!$B$21,Actuals!AS26)</f>
        <v>-1624.789212</v>
      </c>
      <c r="AS208" s="13" t="n">
        <f aca="false">IF(ISBLANK(Actuals!AT26),-Helpers!AQ4*Assumptions!$B$21,Actuals!AT26)</f>
        <v>-1624.789212</v>
      </c>
      <c r="AT208" s="13" t="n">
        <f aca="false">IF(ISBLANK(Actuals!AU26),-Helpers!AR4*Assumptions!$B$21,Actuals!AU26)</f>
        <v>-1624.789212</v>
      </c>
      <c r="AU208" s="13" t="n">
        <f aca="false">IF(ISBLANK(Actuals!AV26),-Helpers!AS4*Assumptions!$B$21,Actuals!AV26)</f>
        <v>-1624.789212</v>
      </c>
      <c r="AV208" s="13" t="n">
        <f aca="false">IF(ISBLANK(Actuals!AW26),-Helpers!AT4*Assumptions!$B$21,Actuals!AW26)</f>
        <v>-1624.789212</v>
      </c>
      <c r="AW208" s="13" t="n">
        <f aca="false">IF(ISBLANK(Actuals!AX26),-Helpers!AU4*Assumptions!$B$21,Actuals!AX26)</f>
        <v>-1624.789212</v>
      </c>
      <c r="AX208" s="13" t="n">
        <f aca="false">IF(ISBLANK(Actuals!AY26),-Helpers!AV4*Assumptions!$B$21,Actuals!AY26)</f>
        <v>-1657.28499624</v>
      </c>
      <c r="AY208" s="13" t="n">
        <f aca="false">IF(ISBLANK(Actuals!AZ26),-Helpers!AW4*Assumptions!$B$21,Actuals!AZ26)</f>
        <v>-1657.28499624</v>
      </c>
      <c r="AZ208" s="13" t="n">
        <f aca="false">IF(ISBLANK(Actuals!BA26),-Helpers!AX4*Assumptions!$B$21,Actuals!BA26)</f>
        <v>-1657.28499624</v>
      </c>
      <c r="BA208" s="13" t="n">
        <f aca="false">IF(ISBLANK(Actuals!BB26),-Helpers!AY4*Assumptions!$B$21,Actuals!BB26)</f>
        <v>-1657.28499624</v>
      </c>
      <c r="BB208" s="13" t="n">
        <f aca="false">IF(ISBLANK(Actuals!BC26),-Helpers!AZ4*Assumptions!$B$21,Actuals!BC26)</f>
        <v>-1657.28499624</v>
      </c>
      <c r="BC208" s="13" t="n">
        <f aca="false">IF(ISBLANK(Actuals!BD26),-Helpers!BA4*Assumptions!$B$21,Actuals!BD26)</f>
        <v>-1657.28499624</v>
      </c>
      <c r="BD208" s="13" t="n">
        <f aca="false">IF(ISBLANK(Actuals!BE26),-Helpers!BB4*Assumptions!$B$21,Actuals!BE26)</f>
        <v>-1657.28499624</v>
      </c>
      <c r="BE208" s="13" t="n">
        <f aca="false">IF(ISBLANK(Actuals!BF26),-Helpers!BC4*Assumptions!$B$21,Actuals!BF26)</f>
        <v>-1657.28499624</v>
      </c>
      <c r="BF208" s="13" t="n">
        <f aca="false">IF(ISBLANK(Actuals!BG26),-Helpers!BD4*Assumptions!$B$21,Actuals!BG26)</f>
        <v>-1657.28499624</v>
      </c>
      <c r="BG208" s="13" t="n">
        <f aca="false">IF(ISBLANK(Actuals!BH26),-Helpers!BE4*Assumptions!$B$21,Actuals!BH26)</f>
        <v>-1657.28499624</v>
      </c>
      <c r="BH208" s="13" t="n">
        <f aca="false">IF(ISBLANK(Actuals!BI26),-Helpers!BF4*Assumptions!$B$21,Actuals!BI26)</f>
        <v>-1657.28499624</v>
      </c>
      <c r="BI208" s="13" t="n">
        <f aca="false">IF(ISBLANK(Actuals!BJ26),-Helpers!BG4*Assumptions!$B$21,Actuals!BJ26)</f>
        <v>-1657.28499624</v>
      </c>
      <c r="BJ208" s="13" t="n">
        <f aca="false">IF(ISBLANK(Actuals!BK26),-Helpers!BH4*Assumptions!$B$21,Actuals!BK26)</f>
        <v>-1690.4306961648</v>
      </c>
      <c r="BK208" s="13" t="n">
        <f aca="false">IF(ISBLANK(Actuals!BL26),-Helpers!BI4*Assumptions!$B$21,Actuals!BL26)</f>
        <v>-1690.4306961648</v>
      </c>
      <c r="BL208" s="13" t="n">
        <f aca="false">IF(ISBLANK(Actuals!BM26),-Helpers!BJ4*Assumptions!$B$21,Actuals!BM26)</f>
        <v>-1690.4306961648</v>
      </c>
      <c r="BM208" s="13" t="n">
        <f aca="false">IF(ISBLANK(Actuals!BN26),-Helpers!BK4*Assumptions!$B$21,Actuals!BN26)</f>
        <v>-1690.4306961648</v>
      </c>
      <c r="BN208" s="13" t="n">
        <f aca="false">IF(ISBLANK(Actuals!BO26),-Helpers!BL4*Assumptions!$B$21,Actuals!BO26)</f>
        <v>-1690.4306961648</v>
      </c>
      <c r="BO208" s="13" t="n">
        <f aca="false">IF(ISBLANK(Actuals!BP26),-Helpers!BM4*Assumptions!$B$21,Actuals!BP26)</f>
        <v>-1690.4306961648</v>
      </c>
      <c r="BP208" s="13" t="n">
        <f aca="false">IF(ISBLANK(Actuals!BQ26),-Helpers!BN4*Assumptions!$B$21,Actuals!BQ26)</f>
        <v>-1690.4306961648</v>
      </c>
      <c r="BQ208" s="13" t="n">
        <f aca="false">IF(ISBLANK(Actuals!BR26),-Helpers!BO4*Assumptions!$B$21,Actuals!BR26)</f>
        <v>-1690.4306961648</v>
      </c>
      <c r="BR208" s="13" t="n">
        <f aca="false">IF(ISBLANK(Actuals!BS26),-Helpers!BP4*Assumptions!$B$21,Actuals!BS26)</f>
        <v>-1690.4306961648</v>
      </c>
      <c r="BS208" s="13" t="n">
        <f aca="false">IF(ISBLANK(Actuals!BT26),-Helpers!BQ4*Assumptions!$B$21,Actuals!BT26)</f>
        <v>-1690.4306961648</v>
      </c>
      <c r="BT208" s="13" t="n">
        <f aca="false">IF(ISBLANK(Actuals!BU26),-Helpers!BR4*Assumptions!$B$21,Actuals!BU26)</f>
        <v>-1690.4306961648</v>
      </c>
      <c r="BU208" s="13" t="n">
        <f aca="false">IF(ISBLANK(Actuals!BV26),-Helpers!BS4*Assumptions!$B$21,Actuals!BV26)</f>
        <v>-1690.4306961648</v>
      </c>
      <c r="BV208" s="13" t="n">
        <f aca="false">IF(ISBLANK(Actuals!BW26),-Helpers!BT4*Assumptions!$B$21,Actuals!BW26)</f>
        <v>-1724.2393100881</v>
      </c>
      <c r="BW208" s="13" t="n">
        <f aca="false">IF(ISBLANK(Actuals!BX26),-Helpers!BU4*Assumptions!$B$21,Actuals!BX26)</f>
        <v>-1724.2393100881</v>
      </c>
      <c r="BX208" s="13" t="n">
        <f aca="false">IF(ISBLANK(Actuals!BY26),-Helpers!BV4*Assumptions!$B$21,Actuals!BY26)</f>
        <v>-1724.2393100881</v>
      </c>
      <c r="BY208" s="13" t="n">
        <f aca="false">IF(ISBLANK(Actuals!BZ26),-Helpers!BW4*Assumptions!$B$21,Actuals!BZ26)</f>
        <v>-1724.2393100881</v>
      </c>
      <c r="BZ208" s="13" t="n">
        <f aca="false">IF(ISBLANK(Actuals!CA26),-Helpers!BX4*Assumptions!$B$21,Actuals!CA26)</f>
        <v>-1724.2393100881</v>
      </c>
      <c r="CA208" s="13" t="n">
        <f aca="false">IF(ISBLANK(Actuals!CB26),-Helpers!BY4*Assumptions!$B$21,Actuals!CB26)</f>
        <v>-1724.2393100881</v>
      </c>
      <c r="CB208" s="13" t="n">
        <f aca="false">IF(ISBLANK(Actuals!CC26),-Helpers!BZ4*Assumptions!$B$21,Actuals!CC26)</f>
        <v>-1724.2393100881</v>
      </c>
      <c r="CC208" s="13" t="n">
        <f aca="false">IF(ISBLANK(Actuals!CD26),-Helpers!CA4*Assumptions!$B$21,Actuals!CD26)</f>
        <v>-1724.2393100881</v>
      </c>
      <c r="CD208" s="13" t="n">
        <f aca="false">IF(ISBLANK(Actuals!CE26),-Helpers!CB4*Assumptions!$B$21,Actuals!CE26)</f>
        <v>-1724.2393100881</v>
      </c>
      <c r="CE208" s="13" t="n">
        <f aca="false">IF(ISBLANK(Actuals!CF26),-Helpers!CC4*Assumptions!$B$21,Actuals!CF26)</f>
        <v>-1724.2393100881</v>
      </c>
      <c r="CF208" s="13" t="n">
        <f aca="false">IF(ISBLANK(Actuals!CG26),-Helpers!CD4*Assumptions!$B$21,Actuals!CG26)</f>
        <v>-1724.2393100881</v>
      </c>
      <c r="CG208" s="13" t="n">
        <f aca="false">IF(ISBLANK(Actuals!CH26),-Helpers!CE4*Assumptions!$B$21,Actuals!CH26)</f>
        <v>-1724.2393100881</v>
      </c>
      <c r="CH208" s="13" t="n">
        <f aca="false">IF(ISBLANK(Actuals!CI26),-Helpers!CF4*Assumptions!$B$21,Actuals!CI26)</f>
        <v>-1758.72409628986</v>
      </c>
      <c r="CI208" s="13" t="n">
        <f aca="false">IF(ISBLANK(Actuals!CJ26),-Helpers!CG4*Assumptions!$B$21,Actuals!CJ26)</f>
        <v>-1758.72409628986</v>
      </c>
      <c r="CJ208" s="13" t="n">
        <f aca="false">IF(ISBLANK(Actuals!CK26),-Helpers!CH4*Assumptions!$B$21,Actuals!CK26)</f>
        <v>-1758.72409628986</v>
      </c>
      <c r="CK208" s="13" t="n">
        <f aca="false">IF(ISBLANK(Actuals!CL26),-Helpers!CI4*Assumptions!$B$21,Actuals!CL26)</f>
        <v>-1758.72409628986</v>
      </c>
      <c r="CL208" s="13" t="n">
        <f aca="false">IF(ISBLANK(Actuals!CM26),-Helpers!CJ4*Assumptions!$B$21,Actuals!CM26)</f>
        <v>-1758.72409628986</v>
      </c>
      <c r="CM208" s="13" t="n">
        <f aca="false">IF(ISBLANK(Actuals!CN26),-Helpers!CK4*Assumptions!$B$21,Actuals!CN26)</f>
        <v>-1758.72409628986</v>
      </c>
      <c r="CN208" s="13" t="n">
        <f aca="false">IF(ISBLANK(Actuals!CO26),-Helpers!CL4*Assumptions!$B$21,Actuals!CO26)</f>
        <v>-1758.72409628986</v>
      </c>
      <c r="CO208" s="13" t="n">
        <f aca="false">IF(ISBLANK(Actuals!CP26),-Helpers!CM4*Assumptions!$B$21,Actuals!CP26)</f>
        <v>-1758.72409628986</v>
      </c>
      <c r="CP208" s="13" t="n">
        <f aca="false">IF(ISBLANK(Actuals!CQ26),-Helpers!CN4*Assumptions!$B$21,Actuals!CQ26)</f>
        <v>-1758.72409628986</v>
      </c>
      <c r="CQ208" s="13" t="n">
        <f aca="false">IF(ISBLANK(Actuals!CR26),-Helpers!CO4*Assumptions!$B$21,Actuals!CR26)</f>
        <v>-1758.72409628986</v>
      </c>
      <c r="CR208" s="13" t="n">
        <f aca="false">IF(ISBLANK(Actuals!CS26),-Helpers!CP4*Assumptions!$B$21,Actuals!CS26)</f>
        <v>-1758.72409628986</v>
      </c>
      <c r="CS208" s="13" t="n">
        <f aca="false">IF(ISBLANK(Actuals!CT26),-Helpers!CQ4*Assumptions!$B$21,Actuals!CT26)</f>
        <v>-1758.72409628986</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-16666.6666666667</v>
      </c>
      <c r="R209" s="13" t="n">
        <f aca="false">IF(ISBLANK(Actuals!S27),-(SUMPRODUCT((Personnel!$O$9:$O$100="GC")*(Personnel!$G$9:$G$100="Yes")*(14&gt;=Personnel!$E$9:$E$100)*((Personnel!$K$9:$K$100="")+(14&lt;=Personnel!$K$9:$K$100)&gt;0)*Personnel!$D$9:$D$100*Personnel!$H$9:$H$100))*Escalation!$B$15,Actuals!S27)</f>
        <v>-16666.6666666667</v>
      </c>
      <c r="S209" s="13" t="n">
        <f aca="false">IF(ISBLANK(Actuals!T27),-(SUMPRODUCT((Personnel!$O$9:$O$100="GC")*(Personnel!$G$9:$G$100="Yes")*(15&gt;=Personnel!$E$9:$E$100)*((Personnel!$K$9:$K$100="")+(15&lt;=Personnel!$K$9:$K$100)&gt;0)*Personnel!$D$9:$D$100*Personnel!$H$9:$H$100))*Escalation!$B$16,Actuals!T27)</f>
        <v>-16666.6666666667</v>
      </c>
      <c r="T209" s="13" t="n">
        <f aca="false">IF(ISBLANK(Actuals!U27),-(SUMPRODUCT((Personnel!$O$9:$O$100="GC")*(Personnel!$G$9:$G$100="Yes")*(16&gt;=Personnel!$E$9:$E$100)*((Personnel!$K$9:$K$100="")+(16&lt;=Personnel!$K$9:$K$100)&gt;0)*Personnel!$D$9:$D$100*Personnel!$H$9:$H$100))*Escalation!$B$17,Actuals!U27)</f>
        <v>-16666.6666666667</v>
      </c>
      <c r="U209" s="13" t="n">
        <f aca="false">IF(ISBLANK(Actuals!V27),-(SUMPRODUCT((Personnel!$O$9:$O$100="GC")*(Personnel!$G$9:$G$100="Yes")*(17&gt;=Personnel!$E$9:$E$100)*((Personnel!$K$9:$K$100="")+(17&lt;=Personnel!$K$9:$K$100)&gt;0)*Personnel!$D$9:$D$100*Personnel!$H$9:$H$100))*Escalation!$B$18,Actuals!V27)</f>
        <v>-16666.6666666667</v>
      </c>
      <c r="V209" s="13" t="n">
        <f aca="false">IF(ISBLANK(Actuals!W27),-(SUMPRODUCT((Personnel!$O$9:$O$100="GC")*(Personnel!$G$9:$G$100="Yes")*(18&gt;=Personnel!$E$9:$E$100)*((Personnel!$K$9:$K$100="")+(18&lt;=Personnel!$K$9:$K$100)&gt;0)*Personnel!$D$9:$D$100*Personnel!$H$9:$H$100))*Escalation!$B$19,Actuals!W27)</f>
        <v>-16666.6666666667</v>
      </c>
      <c r="W209" s="13" t="n">
        <f aca="false">IF(ISBLANK(Actuals!X27),-(SUMPRODUCT((Personnel!$O$9:$O$100="GC")*(Personnel!$G$9:$G$100="Yes")*(19&gt;=Personnel!$E$9:$E$100)*((Personnel!$K$9:$K$100="")+(19&lt;=Personnel!$K$9:$K$100)&gt;0)*Personnel!$D$9:$D$100*Personnel!$H$9:$H$100))*Escalation!$B$20,Actuals!X27)</f>
        <v>-16666.6666666667</v>
      </c>
      <c r="X209" s="13" t="n">
        <f aca="false">IF(ISBLANK(Actuals!Y27),-(SUMPRODUCT((Personnel!$O$9:$O$100="GC")*(Personnel!$G$9:$G$100="Yes")*(20&gt;=Personnel!$E$9:$E$100)*((Personnel!$K$9:$K$100="")+(20&lt;=Personnel!$K$9:$K$100)&gt;0)*Personnel!$D$9:$D$100*Personnel!$H$9:$H$100))*Escalation!$B$21,Actuals!Y27)</f>
        <v>-16666.6666666667</v>
      </c>
      <c r="Y209" s="13" t="n">
        <f aca="false">IF(ISBLANK(Actuals!Z27),-(SUMPRODUCT((Personnel!$O$9:$O$100="GC")*(Personnel!$G$9:$G$100="Yes")*(21&gt;=Personnel!$E$9:$E$100)*((Personnel!$K$9:$K$100="")+(21&lt;=Personnel!$K$9:$K$100)&gt;0)*Personnel!$D$9:$D$100*Personnel!$H$9:$H$100))*Escalation!$B$22,Actuals!Z27)</f>
        <v>-16666.6666666667</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-17000</v>
      </c>
      <c r="AD209" s="13" t="n">
        <f aca="false">IF(ISBLANK(Actuals!AE27),-(SUMPRODUCT((Personnel!$O$9:$O$100="GC")*(Personnel!$G$9:$G$100="Yes")*(26&gt;=Personnel!$E$9:$E$100)*((Personnel!$K$9:$K$100="")+(26&lt;=Personnel!$K$9:$K$100)&gt;0)*Personnel!$D$9:$D$100*Personnel!$H$9:$H$100))*Escalation!$B$27,Actuals!AE27)</f>
        <v>-17000</v>
      </c>
      <c r="AE209" s="13" t="n">
        <f aca="false">IF(ISBLANK(Actuals!AF27),-(SUMPRODUCT((Personnel!$O$9:$O$100="GC")*(Personnel!$G$9:$G$100="Yes")*(27&gt;=Personnel!$E$9:$E$100)*((Personnel!$K$9:$K$100="")+(27&lt;=Personnel!$K$9:$K$100)&gt;0)*Personnel!$D$9:$D$100*Personnel!$H$9:$H$100))*Escalation!$B$28,Actuals!AF27)</f>
        <v>-17000</v>
      </c>
      <c r="AF209" s="13" t="n">
        <f aca="false">IF(ISBLANK(Actuals!AG27),-(SUMPRODUCT((Personnel!$O$9:$O$100="GC")*(Personnel!$G$9:$G$100="Yes")*(28&gt;=Personnel!$E$9:$E$100)*((Personnel!$K$9:$K$100="")+(28&lt;=Personnel!$K$9:$K$100)&gt;0)*Personnel!$D$9:$D$100*Personnel!$H$9:$H$100))*Escalation!$B$29,Actuals!AG27)</f>
        <v>-17000</v>
      </c>
      <c r="AG209" s="13" t="n">
        <f aca="false">IF(ISBLANK(Actuals!AH27),-(SUMPRODUCT((Personnel!$O$9:$O$100="GC")*(Personnel!$G$9:$G$100="Yes")*(29&gt;=Personnel!$E$9:$E$100)*((Personnel!$K$9:$K$100="")+(29&lt;=Personnel!$K$9:$K$100)&gt;0)*Personnel!$D$9:$D$100*Personnel!$H$9:$H$100))*Escalation!$B$30,Actuals!AH27)</f>
        <v>-17000</v>
      </c>
      <c r="AH209" s="13" t="n">
        <f aca="false">IF(ISBLANK(Actuals!AI27),-(SUMPRODUCT((Personnel!$O$9:$O$100="GC")*(Personnel!$G$9:$G$100="Yes")*(30&gt;=Personnel!$E$9:$E$100)*((Personnel!$K$9:$K$100="")+(30&lt;=Personnel!$K$9:$K$100)&gt;0)*Personnel!$D$9:$D$100*Personnel!$H$9:$H$100))*Escalation!$B$31,Actuals!AI27)</f>
        <v>-17000</v>
      </c>
      <c r="AI209" s="13" t="n">
        <f aca="false">IF(ISBLANK(Actuals!AJ27),-(SUMPRODUCT((Personnel!$O$9:$O$100="GC")*(Personnel!$G$9:$G$100="Yes")*(31&gt;=Personnel!$E$9:$E$100)*((Personnel!$K$9:$K$100="")+(31&lt;=Personnel!$K$9:$K$100)&gt;0)*Personnel!$D$9:$D$100*Personnel!$H$9:$H$100))*Escalation!$B$32,Actuals!AJ27)</f>
        <v>-17000</v>
      </c>
      <c r="AJ209" s="13" t="n">
        <f aca="false">IF(ISBLANK(Actuals!AK27),-(SUMPRODUCT((Personnel!$O$9:$O$100="GC")*(Personnel!$G$9:$G$100="Yes")*(32&gt;=Personnel!$E$9:$E$100)*((Personnel!$K$9:$K$100="")+(32&lt;=Personnel!$K$9:$K$100)&gt;0)*Personnel!$D$9:$D$100*Personnel!$H$9:$H$100))*Escalation!$B$33,Actuals!AK27)</f>
        <v>-17000</v>
      </c>
      <c r="AK209" s="13" t="n">
        <f aca="false">IF(ISBLANK(Actuals!AL27),-(SUMPRODUCT((Personnel!$O$9:$O$100="GC")*(Personnel!$G$9:$G$100="Yes")*(33&gt;=Personnel!$E$9:$E$100)*((Personnel!$K$9:$K$100="")+(33&lt;=Personnel!$K$9:$K$100)&gt;0)*Personnel!$D$9:$D$100*Personnel!$H$9:$H$100))*Escalation!$B$34,Actuals!AL27)</f>
        <v>-17000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-17340</v>
      </c>
      <c r="AP209" s="13" t="n">
        <f aca="false">IF(ISBLANK(Actuals!AQ27),-(SUMPRODUCT((Personnel!$O$9:$O$100="GC")*(Personnel!$G$9:$G$100="Yes")*(38&gt;=Personnel!$E$9:$E$100)*((Personnel!$K$9:$K$100="")+(38&lt;=Personnel!$K$9:$K$100)&gt;0)*Personnel!$D$9:$D$100*Personnel!$H$9:$H$100))*Escalation!$B$39,Actuals!AQ27)</f>
        <v>-17340</v>
      </c>
      <c r="AQ209" s="13" t="n">
        <f aca="false">IF(ISBLANK(Actuals!AR27),-(SUMPRODUCT((Personnel!$O$9:$O$100="GC")*(Personnel!$G$9:$G$100="Yes")*(39&gt;=Personnel!$E$9:$E$100)*((Personnel!$K$9:$K$100="")+(39&lt;=Personnel!$K$9:$K$100)&gt;0)*Personnel!$D$9:$D$100*Personnel!$H$9:$H$100))*Escalation!$B$40,Actuals!AR27)</f>
        <v>-17340</v>
      </c>
      <c r="AR209" s="13" t="n">
        <f aca="false">IF(ISBLANK(Actuals!AS27),-(SUMPRODUCT((Personnel!$O$9:$O$100="GC")*(Personnel!$G$9:$G$100="Yes")*(40&gt;=Personnel!$E$9:$E$100)*((Personnel!$K$9:$K$100="")+(40&lt;=Personnel!$K$9:$K$100)&gt;0)*Personnel!$D$9:$D$100*Personnel!$H$9:$H$100))*Escalation!$B$41,Actuals!AS27)</f>
        <v>-17340</v>
      </c>
      <c r="AS209" s="13" t="n">
        <f aca="false">IF(ISBLANK(Actuals!AT27),-(SUMPRODUCT((Personnel!$O$9:$O$100="GC")*(Personnel!$G$9:$G$100="Yes")*(41&gt;=Personnel!$E$9:$E$100)*((Personnel!$K$9:$K$100="")+(41&lt;=Personnel!$K$9:$K$100)&gt;0)*Personnel!$D$9:$D$100*Personnel!$H$9:$H$100))*Escalation!$B$42,Actuals!AT27)</f>
        <v>-17340</v>
      </c>
      <c r="AT209" s="13" t="n">
        <f aca="false">IF(ISBLANK(Actuals!AU27),-(SUMPRODUCT((Personnel!$O$9:$O$100="GC")*(Personnel!$G$9:$G$100="Yes")*(42&gt;=Personnel!$E$9:$E$100)*((Personnel!$K$9:$K$100="")+(42&lt;=Personnel!$K$9:$K$100)&gt;0)*Personnel!$D$9:$D$100*Personnel!$H$9:$H$100))*Escalation!$B$43,Actuals!AU27)</f>
        <v>-17340</v>
      </c>
      <c r="AU209" s="13" t="n">
        <f aca="false">IF(ISBLANK(Actuals!AV27),-(SUMPRODUCT((Personnel!$O$9:$O$100="GC")*(Personnel!$G$9:$G$100="Yes")*(43&gt;=Personnel!$E$9:$E$100)*((Personnel!$K$9:$K$100="")+(43&lt;=Personnel!$K$9:$K$100)&gt;0)*Personnel!$D$9:$D$100*Personnel!$H$9:$H$100))*Escalation!$B$44,Actuals!AV27)</f>
        <v>-17340</v>
      </c>
      <c r="AV209" s="13" t="n">
        <f aca="false">IF(ISBLANK(Actuals!AW27),-(SUMPRODUCT((Personnel!$O$9:$O$100="GC")*(Personnel!$G$9:$G$100="Yes")*(44&gt;=Personnel!$E$9:$E$100)*((Personnel!$K$9:$K$100="")+(44&lt;=Personnel!$K$9:$K$100)&gt;0)*Personnel!$D$9:$D$100*Personnel!$H$9:$H$100))*Escalation!$B$45,Actuals!AW27)</f>
        <v>-17340</v>
      </c>
      <c r="AW209" s="13" t="n">
        <f aca="false">IF(ISBLANK(Actuals!AX27),-(SUMPRODUCT((Personnel!$O$9:$O$100="GC")*(Personnel!$G$9:$G$100="Yes")*(45&gt;=Personnel!$E$9:$E$100)*((Personnel!$K$9:$K$100="")+(45&lt;=Personnel!$K$9:$K$100)&gt;0)*Personnel!$D$9:$D$100*Personnel!$H$9:$H$100))*Escalation!$B$46,Actuals!AX27)</f>
        <v>-17340</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-17686.8</v>
      </c>
      <c r="BB209" s="13" t="n">
        <f aca="false">IF(ISBLANK(Actuals!BC27),-(SUMPRODUCT((Personnel!$O$9:$O$100="GC")*(Personnel!$G$9:$G$100="Yes")*(50&gt;=Personnel!$E$9:$E$100)*((Personnel!$K$9:$K$100="")+(50&lt;=Personnel!$K$9:$K$100)&gt;0)*Personnel!$D$9:$D$100*Personnel!$H$9:$H$100))*Escalation!$B$51,Actuals!BC27)</f>
        <v>-17686.8</v>
      </c>
      <c r="BC209" s="13" t="n">
        <f aca="false">IF(ISBLANK(Actuals!BD27),-(SUMPRODUCT((Personnel!$O$9:$O$100="GC")*(Personnel!$G$9:$G$100="Yes")*(51&gt;=Personnel!$E$9:$E$100)*((Personnel!$K$9:$K$100="")+(51&lt;=Personnel!$K$9:$K$100)&gt;0)*Personnel!$D$9:$D$100*Personnel!$H$9:$H$100))*Escalation!$B$52,Actuals!BD27)</f>
        <v>-17686.8</v>
      </c>
      <c r="BD209" s="13" t="n">
        <f aca="false">IF(ISBLANK(Actuals!BE27),-(SUMPRODUCT((Personnel!$O$9:$O$100="GC")*(Personnel!$G$9:$G$100="Yes")*(52&gt;=Personnel!$E$9:$E$100)*((Personnel!$K$9:$K$100="")+(52&lt;=Personnel!$K$9:$K$100)&gt;0)*Personnel!$D$9:$D$100*Personnel!$H$9:$H$100))*Escalation!$B$53,Actuals!BE27)</f>
        <v>-17686.8</v>
      </c>
      <c r="BE209" s="13" t="n">
        <f aca="false">IF(ISBLANK(Actuals!BF27),-(SUMPRODUCT((Personnel!$O$9:$O$100="GC")*(Personnel!$G$9:$G$100="Yes")*(53&gt;=Personnel!$E$9:$E$100)*((Personnel!$K$9:$K$100="")+(53&lt;=Personnel!$K$9:$K$100)&gt;0)*Personnel!$D$9:$D$100*Personnel!$H$9:$H$100))*Escalation!$B$54,Actuals!BF27)</f>
        <v>-17686.8</v>
      </c>
      <c r="BF209" s="13" t="n">
        <f aca="false">IF(ISBLANK(Actuals!BG27),-(SUMPRODUCT((Personnel!$O$9:$O$100="GC")*(Personnel!$G$9:$G$100="Yes")*(54&gt;=Personnel!$E$9:$E$100)*((Personnel!$K$9:$K$100="")+(54&lt;=Personnel!$K$9:$K$100)&gt;0)*Personnel!$D$9:$D$100*Personnel!$H$9:$H$100))*Escalation!$B$55,Actuals!BG27)</f>
        <v>-17686.8</v>
      </c>
      <c r="BG209" s="13" t="n">
        <f aca="false">IF(ISBLANK(Actuals!BH27),-(SUMPRODUCT((Personnel!$O$9:$O$100="GC")*(Personnel!$G$9:$G$100="Yes")*(55&gt;=Personnel!$E$9:$E$100)*((Personnel!$K$9:$K$100="")+(55&lt;=Personnel!$K$9:$K$100)&gt;0)*Personnel!$D$9:$D$100*Personnel!$H$9:$H$100))*Escalation!$B$56,Actuals!BH27)</f>
        <v>-17686.8</v>
      </c>
      <c r="BH209" s="13" t="n">
        <f aca="false">IF(ISBLANK(Actuals!BI27),-(SUMPRODUCT((Personnel!$O$9:$O$100="GC")*(Personnel!$G$9:$G$100="Yes")*(56&gt;=Personnel!$E$9:$E$100)*((Personnel!$K$9:$K$100="")+(56&lt;=Personnel!$K$9:$K$100)&gt;0)*Personnel!$D$9:$D$100*Personnel!$H$9:$H$100))*Escalation!$B$57,Actuals!BI27)</f>
        <v>-17686.8</v>
      </c>
      <c r="BI209" s="13" t="n">
        <f aca="false">IF(ISBLANK(Actuals!BJ27),-(SUMPRODUCT((Personnel!$O$9:$O$100="GC")*(Personnel!$G$9:$G$100="Yes")*(57&gt;=Personnel!$E$9:$E$100)*((Personnel!$K$9:$K$100="")+(57&lt;=Personnel!$K$9:$K$100)&gt;0)*Personnel!$D$9:$D$100*Personnel!$H$9:$H$100))*Escalation!$B$58,Actuals!BJ27)</f>
        <v>-17686.8</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-18040.536</v>
      </c>
      <c r="BN209" s="13" t="n">
        <f aca="false">IF(ISBLANK(Actuals!BO27),-(SUMPRODUCT((Personnel!$O$9:$O$100="GC")*(Personnel!$G$9:$G$100="Yes")*(62&gt;=Personnel!$E$9:$E$100)*((Personnel!$K$9:$K$100="")+(62&lt;=Personnel!$K$9:$K$100)&gt;0)*Personnel!$D$9:$D$100*Personnel!$H$9:$H$100))*Escalation!$B$63,Actuals!BO27)</f>
        <v>-18040.536</v>
      </c>
      <c r="BO209" s="13" t="n">
        <f aca="false">IF(ISBLANK(Actuals!BP27),-(SUMPRODUCT((Personnel!$O$9:$O$100="GC")*(Personnel!$G$9:$G$100="Yes")*(63&gt;=Personnel!$E$9:$E$100)*((Personnel!$K$9:$K$100="")+(63&lt;=Personnel!$K$9:$K$100)&gt;0)*Personnel!$D$9:$D$100*Personnel!$H$9:$H$100))*Escalation!$B$64,Actuals!BP27)</f>
        <v>-18040.536</v>
      </c>
      <c r="BP209" s="13" t="n">
        <f aca="false">IF(ISBLANK(Actuals!BQ27),-(SUMPRODUCT((Personnel!$O$9:$O$100="GC")*(Personnel!$G$9:$G$100="Yes")*(64&gt;=Personnel!$E$9:$E$100)*((Personnel!$K$9:$K$100="")+(64&lt;=Personnel!$K$9:$K$100)&gt;0)*Personnel!$D$9:$D$100*Personnel!$H$9:$H$100))*Escalation!$B$65,Actuals!BQ27)</f>
        <v>-18040.536</v>
      </c>
      <c r="BQ209" s="13" t="n">
        <f aca="false">IF(ISBLANK(Actuals!BR27),-(SUMPRODUCT((Personnel!$O$9:$O$100="GC")*(Personnel!$G$9:$G$100="Yes")*(65&gt;=Personnel!$E$9:$E$100)*((Personnel!$K$9:$K$100="")+(65&lt;=Personnel!$K$9:$K$100)&gt;0)*Personnel!$D$9:$D$100*Personnel!$H$9:$H$100))*Escalation!$B$66,Actuals!BR27)</f>
        <v>-18040.536</v>
      </c>
      <c r="BR209" s="13" t="n">
        <f aca="false">IF(ISBLANK(Actuals!BS27),-(SUMPRODUCT((Personnel!$O$9:$O$100="GC")*(Personnel!$G$9:$G$100="Yes")*(66&gt;=Personnel!$E$9:$E$100)*((Personnel!$K$9:$K$100="")+(66&lt;=Personnel!$K$9:$K$100)&gt;0)*Personnel!$D$9:$D$100*Personnel!$H$9:$H$100))*Escalation!$B$67,Actuals!BS27)</f>
        <v>-18040.536</v>
      </c>
      <c r="BS209" s="13" t="n">
        <f aca="false">IF(ISBLANK(Actuals!BT27),-(SUMPRODUCT((Personnel!$O$9:$O$100="GC")*(Personnel!$G$9:$G$100="Yes")*(67&gt;=Personnel!$E$9:$E$100)*((Personnel!$K$9:$K$100="")+(67&lt;=Personnel!$K$9:$K$100)&gt;0)*Personnel!$D$9:$D$100*Personnel!$H$9:$H$100))*Escalation!$B$68,Actuals!BT27)</f>
        <v>-18040.536</v>
      </c>
      <c r="BT209" s="13" t="n">
        <f aca="false">IF(ISBLANK(Actuals!BU27),-(SUMPRODUCT((Personnel!$O$9:$O$100="GC")*(Personnel!$G$9:$G$100="Yes")*(68&gt;=Personnel!$E$9:$E$100)*((Personnel!$K$9:$K$100="")+(68&lt;=Personnel!$K$9:$K$100)&gt;0)*Personnel!$D$9:$D$100*Personnel!$H$9:$H$100))*Escalation!$B$69,Actuals!BU27)</f>
        <v>-18040.536</v>
      </c>
      <c r="BU209" s="13" t="n">
        <f aca="false">IF(ISBLANK(Actuals!BV27),-(SUMPRODUCT((Personnel!$O$9:$O$100="GC")*(Personnel!$G$9:$G$100="Yes")*(69&gt;=Personnel!$E$9:$E$100)*((Personnel!$K$9:$K$100="")+(69&lt;=Personnel!$K$9:$K$100)&gt;0)*Personnel!$D$9:$D$100*Personnel!$H$9:$H$100))*Escalation!$B$70,Actuals!BV27)</f>
        <v>-18040.536</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-18401.34672</v>
      </c>
      <c r="BZ209" s="13" t="n">
        <f aca="false">IF(ISBLANK(Actuals!CA27),-(SUMPRODUCT((Personnel!$O$9:$O$100="GC")*(Personnel!$G$9:$G$100="Yes")*(74&gt;=Personnel!$E$9:$E$100)*((Personnel!$K$9:$K$100="")+(74&lt;=Personnel!$K$9:$K$100)&gt;0)*Personnel!$D$9:$D$100*Personnel!$H$9:$H$100))*Escalation!$B$75,Actuals!CA27)</f>
        <v>-18401.34672</v>
      </c>
      <c r="CA209" s="13" t="n">
        <f aca="false">IF(ISBLANK(Actuals!CB27),-(SUMPRODUCT((Personnel!$O$9:$O$100="GC")*(Personnel!$G$9:$G$100="Yes")*(75&gt;=Personnel!$E$9:$E$100)*((Personnel!$K$9:$K$100="")+(75&lt;=Personnel!$K$9:$K$100)&gt;0)*Personnel!$D$9:$D$100*Personnel!$H$9:$H$100))*Escalation!$B$76,Actuals!CB27)</f>
        <v>-18401.34672</v>
      </c>
      <c r="CB209" s="13" t="n">
        <f aca="false">IF(ISBLANK(Actuals!CC27),-(SUMPRODUCT((Personnel!$O$9:$O$100="GC")*(Personnel!$G$9:$G$100="Yes")*(76&gt;=Personnel!$E$9:$E$100)*((Personnel!$K$9:$K$100="")+(76&lt;=Personnel!$K$9:$K$100)&gt;0)*Personnel!$D$9:$D$100*Personnel!$H$9:$H$100))*Escalation!$B$77,Actuals!CC27)</f>
        <v>-18401.34672</v>
      </c>
      <c r="CC209" s="13" t="n">
        <f aca="false">IF(ISBLANK(Actuals!CD27),-(SUMPRODUCT((Personnel!$O$9:$O$100="GC")*(Personnel!$G$9:$G$100="Yes")*(77&gt;=Personnel!$E$9:$E$100)*((Personnel!$K$9:$K$100="")+(77&lt;=Personnel!$K$9:$K$100)&gt;0)*Personnel!$D$9:$D$100*Personnel!$H$9:$H$100))*Escalation!$B$78,Actuals!CD27)</f>
        <v>-18401.34672</v>
      </c>
      <c r="CD209" s="13" t="n">
        <f aca="false">IF(ISBLANK(Actuals!CE27),-(SUMPRODUCT((Personnel!$O$9:$O$100="GC")*(Personnel!$G$9:$G$100="Yes")*(78&gt;=Personnel!$E$9:$E$100)*((Personnel!$K$9:$K$100="")+(78&lt;=Personnel!$K$9:$K$100)&gt;0)*Personnel!$D$9:$D$100*Personnel!$H$9:$H$100))*Escalation!$B$79,Actuals!CE27)</f>
        <v>-18401.34672</v>
      </c>
      <c r="CE209" s="13" t="n">
        <f aca="false">IF(ISBLANK(Actuals!CF27),-(SUMPRODUCT((Personnel!$O$9:$O$100="GC")*(Personnel!$G$9:$G$100="Yes")*(79&gt;=Personnel!$E$9:$E$100)*((Personnel!$K$9:$K$100="")+(79&lt;=Personnel!$K$9:$K$100)&gt;0)*Personnel!$D$9:$D$100*Personnel!$H$9:$H$100))*Escalation!$B$80,Actuals!CF27)</f>
        <v>-18401.34672</v>
      </c>
      <c r="CF209" s="13" t="n">
        <f aca="false">IF(ISBLANK(Actuals!CG27),-(SUMPRODUCT((Personnel!$O$9:$O$100="GC")*(Personnel!$G$9:$G$100="Yes")*(80&gt;=Personnel!$E$9:$E$100)*((Personnel!$K$9:$K$100="")+(80&lt;=Personnel!$K$9:$K$100)&gt;0)*Personnel!$D$9:$D$100*Personnel!$H$9:$H$100))*Escalation!$B$81,Actuals!CG27)</f>
        <v>-18401.34672</v>
      </c>
      <c r="CG209" s="13" t="n">
        <f aca="false">IF(ISBLANK(Actuals!CH27),-(SUMPRODUCT((Personnel!$O$9:$O$100="GC")*(Personnel!$G$9:$G$100="Yes")*(81&gt;=Personnel!$E$9:$E$100)*((Personnel!$K$9:$K$100="")+(81&lt;=Personnel!$K$9:$K$100)&gt;0)*Personnel!$D$9:$D$100*Personnel!$H$9:$H$100))*Escalation!$B$82,Actuals!CH27)</f>
        <v>-18401.34672</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-18769.3736544</v>
      </c>
      <c r="CL209" s="13" t="n">
        <f aca="false">IF(ISBLANK(Actuals!CM27),-(SUMPRODUCT((Personnel!$O$9:$O$100="GC")*(Personnel!$G$9:$G$100="Yes")*(86&gt;=Personnel!$E$9:$E$100)*((Personnel!$K$9:$K$100="")+(86&lt;=Personnel!$K$9:$K$100)&gt;0)*Personnel!$D$9:$D$100*Personnel!$H$9:$H$100))*Escalation!$B$87,Actuals!CM27)</f>
        <v>-18769.3736544</v>
      </c>
      <c r="CM209" s="13" t="n">
        <f aca="false">IF(ISBLANK(Actuals!CN27),-(SUMPRODUCT((Personnel!$O$9:$O$100="GC")*(Personnel!$G$9:$G$100="Yes")*(87&gt;=Personnel!$E$9:$E$100)*((Personnel!$K$9:$K$100="")+(87&lt;=Personnel!$K$9:$K$100)&gt;0)*Personnel!$D$9:$D$100*Personnel!$H$9:$H$100))*Escalation!$B$88,Actuals!CN27)</f>
        <v>-18769.3736544</v>
      </c>
      <c r="CN209" s="13" t="n">
        <f aca="false">IF(ISBLANK(Actuals!CO27),-(SUMPRODUCT((Personnel!$O$9:$O$100="GC")*(Personnel!$G$9:$G$100="Yes")*(88&gt;=Personnel!$E$9:$E$100)*((Personnel!$K$9:$K$100="")+(88&lt;=Personnel!$K$9:$K$100)&gt;0)*Personnel!$D$9:$D$100*Personnel!$H$9:$H$100))*Escalation!$B$89,Actuals!CO27)</f>
        <v>-18769.3736544</v>
      </c>
      <c r="CO209" s="13" t="n">
        <f aca="false">IF(ISBLANK(Actuals!CP27),-(SUMPRODUCT((Personnel!$O$9:$O$100="GC")*(Personnel!$G$9:$G$100="Yes")*(89&gt;=Personnel!$E$9:$E$100)*((Personnel!$K$9:$K$100="")+(89&lt;=Personnel!$K$9:$K$100)&gt;0)*Personnel!$D$9:$D$100*Personnel!$H$9:$H$100))*Escalation!$B$90,Actuals!CP27)</f>
        <v>-18769.3736544</v>
      </c>
      <c r="CP209" s="13" t="n">
        <f aca="false">IF(ISBLANK(Actuals!CQ27),-(SUMPRODUCT((Personnel!$O$9:$O$100="GC")*(Personnel!$G$9:$G$100="Yes")*(90&gt;=Personnel!$E$9:$E$100)*((Personnel!$K$9:$K$100="")+(90&lt;=Personnel!$K$9:$K$100)&gt;0)*Personnel!$D$9:$D$100*Personnel!$H$9:$H$100))*Escalation!$B$91,Actuals!CQ27)</f>
        <v>-18769.3736544</v>
      </c>
      <c r="CQ209" s="13" t="n">
        <f aca="false">IF(ISBLANK(Actuals!CR27),-(SUMPRODUCT((Personnel!$O$9:$O$100="GC")*(Personnel!$G$9:$G$100="Yes")*(91&gt;=Personnel!$E$9:$E$100)*((Personnel!$K$9:$K$100="")+(91&lt;=Personnel!$K$9:$K$100)&gt;0)*Personnel!$D$9:$D$100*Personnel!$H$9:$H$100))*Escalation!$B$92,Actuals!CR27)</f>
        <v>-18769.3736544</v>
      </c>
      <c r="CR209" s="13" t="n">
        <f aca="false">IF(ISBLANK(Actuals!CS27),-(SUMPRODUCT((Personnel!$O$9:$O$100="GC")*(Personnel!$G$9:$G$100="Yes")*(92&gt;=Personnel!$E$9:$E$100)*((Personnel!$K$9:$K$100="")+(92&lt;=Personnel!$K$9:$K$100)&gt;0)*Personnel!$D$9:$D$100*Personnel!$H$9:$H$100))*Escalation!$B$93,Actuals!CS27)</f>
        <v>-18769.3736544</v>
      </c>
      <c r="CS209" s="13" t="n">
        <f aca="false">IF(ISBLANK(Actuals!CT27),-(SUMPRODUCT((Personnel!$O$9:$O$100="GC")*(Personnel!$G$9:$G$100="Yes")*(93&gt;=Personnel!$E$9:$E$100)*((Personnel!$K$9:$K$100="")+(93&lt;=Personnel!$K$9:$K$100)&gt;0)*Personnel!$D$9:$D$100*Personnel!$H$9:$H$100))*Escalation!$B$94,Actuals!CT27)</f>
        <v>-18769.3736544</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-19144.761127488</v>
      </c>
      <c r="CX209" s="13" t="n">
        <f aca="false">IF(ISBLANK(Actuals!CY27),-(SUMPRODUCT((Personnel!$O$9:$O$100="GC")*(Personnel!$G$9:$G$100="Yes")*(98&gt;=Personnel!$E$9:$E$100)*((Personnel!$K$9:$K$100="")+(98&lt;=Personnel!$K$9:$K$100)&gt;0)*Personnel!$D$9:$D$100*Personnel!$H$9:$H$100))*Escalation!$B$99,Actuals!CY27)</f>
        <v>-19144.761127488</v>
      </c>
      <c r="CY209" s="13" t="n">
        <f aca="false">IF(ISBLANK(Actuals!CZ27),-(SUMPRODUCT((Personnel!$O$9:$O$100="GC")*(Personnel!$G$9:$G$100="Yes")*(99&gt;=Personnel!$E$9:$E$100)*((Personnel!$K$9:$K$100="")+(99&lt;=Personnel!$K$9:$K$100)&gt;0)*Personnel!$D$9:$D$100*Personnel!$H$9:$H$100))*Escalation!$B$100,Actuals!CZ27)</f>
        <v>-19144.761127488</v>
      </c>
      <c r="CZ209" s="13" t="n">
        <f aca="false">IF(ISBLANK(Actuals!DA27),-(SUMPRODUCT((Personnel!$O$9:$O$100="GC")*(Personnel!$G$9:$G$100="Yes")*(100&gt;=Personnel!$E$9:$E$100)*((Personnel!$K$9:$K$100="")+(100&lt;=Personnel!$K$9:$K$100)&gt;0)*Personnel!$D$9:$D$100*Personnel!$H$9:$H$100))*Escalation!$B$101,Actuals!DA27)</f>
        <v>-19144.761127488</v>
      </c>
      <c r="DA209" s="13" t="n">
        <f aca="false">IF(ISBLANK(Actuals!DB27),-(SUMPRODUCT((Personnel!$O$9:$O$100="GC")*(Personnel!$G$9:$G$100="Yes")*(101&gt;=Personnel!$E$9:$E$100)*((Personnel!$K$9:$K$100="")+(101&lt;=Personnel!$K$9:$K$100)&gt;0)*Personnel!$D$9:$D$100*Personnel!$H$9:$H$100))*Escalation!$B$102,Actuals!DB27)</f>
        <v>-19144.761127488</v>
      </c>
      <c r="DB209" s="13" t="n">
        <f aca="false">IF(ISBLANK(Actuals!DC27),-(SUMPRODUCT((Personnel!$O$9:$O$100="GC")*(Personnel!$G$9:$G$100="Yes")*(102&gt;=Personnel!$E$9:$E$100)*((Personnel!$K$9:$K$100="")+(102&lt;=Personnel!$K$9:$K$100)&gt;0)*Personnel!$D$9:$D$100*Personnel!$H$9:$H$100))*Escalation!$B$103,Actuals!DC27)</f>
        <v>-19144.761127488</v>
      </c>
      <c r="DC209" s="13" t="n">
        <f aca="false">IF(ISBLANK(Actuals!DD27),-(SUMPRODUCT((Personnel!$O$9:$O$100="GC")*(Personnel!$G$9:$G$100="Yes")*(103&gt;=Personnel!$E$9:$E$100)*((Personnel!$K$9:$K$100="")+(103&lt;=Personnel!$K$9:$K$100)&gt;0)*Personnel!$D$9:$D$100*Personnel!$H$9:$H$100))*Escalation!$B$104,Actuals!DD27)</f>
        <v>-19144.761127488</v>
      </c>
      <c r="DD209" s="13" t="n">
        <f aca="false">IF(ISBLANK(Actuals!DE27),-(SUMPRODUCT((Personnel!$O$9:$O$100="GC")*(Personnel!$G$9:$G$100="Yes")*(104&gt;=Personnel!$E$9:$E$100)*((Personnel!$K$9:$K$100="")+(104&lt;=Personnel!$K$9:$K$100)&gt;0)*Personnel!$D$9:$D$100*Personnel!$H$9:$H$100))*Escalation!$B$105,Actuals!DE27)</f>
        <v>-19144.761127488</v>
      </c>
      <c r="DE209" s="13" t="n">
        <f aca="false">IF(ISBLANK(Actuals!DF27),-(SUMPRODUCT((Personnel!$O$9:$O$100="GC")*(Personnel!$G$9:$G$100="Yes")*(105&gt;=Personnel!$E$9:$E$100)*((Personnel!$K$9:$K$100="")+(105&lt;=Personnel!$K$9:$K$100)&gt;0)*Personnel!$D$9:$D$100*Personnel!$H$9:$H$100))*Escalation!$B$106,Actuals!DF27)</f>
        <v>-19144.761127488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-4024.64</v>
      </c>
      <c r="R212" s="13" t="n">
        <f aca="false">IF(ISBLANK(Actuals!S30),-4024.64*Escalation!$B$15,Actuals!S30)</f>
        <v>-4024.64</v>
      </c>
      <c r="S212" s="13" t="n">
        <f aca="false">IF(ISBLANK(Actuals!T30),-4024.64*Escalation!$B$16,Actuals!T30)</f>
        <v>-4024.64</v>
      </c>
      <c r="T212" s="13" t="n">
        <f aca="false">IF(ISBLANK(Actuals!U30),-4024.64*Escalation!$B$17,Actuals!U30)</f>
        <v>-4024.64</v>
      </c>
      <c r="U212" s="13" t="n">
        <f aca="false">IF(ISBLANK(Actuals!V30),-4024.64*Escalation!$B$18,Actuals!V30)</f>
        <v>-4024.64</v>
      </c>
      <c r="V212" s="13" t="n">
        <f aca="false">IF(ISBLANK(Actuals!W30),-4024.64*Escalation!$B$19,Actuals!W30)</f>
        <v>-4024.64</v>
      </c>
      <c r="W212" s="13" t="n">
        <f aca="false">IF(ISBLANK(Actuals!X30),-4024.64*Escalation!$B$20,Actuals!X30)</f>
        <v>-4024.64</v>
      </c>
      <c r="X212" s="13" t="n">
        <f aca="false">IF(ISBLANK(Actuals!Y30),-4024.64*Escalation!$B$21,Actuals!Y30)</f>
        <v>-4024.64</v>
      </c>
      <c r="Y212" s="13" t="n">
        <f aca="false">IF(ISBLANK(Actuals!Z30),-4024.64*Escalation!$B$22,Actuals!Z30)</f>
        <v>-4024.64</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-4105.1328</v>
      </c>
      <c r="AD212" s="13" t="n">
        <f aca="false">IF(ISBLANK(Actuals!AE30),-4024.64*Escalation!$B$27,Actuals!AE30)</f>
        <v>-4105.1328</v>
      </c>
      <c r="AE212" s="13" t="n">
        <f aca="false">IF(ISBLANK(Actuals!AF30),-4024.64*Escalation!$B$28,Actuals!AF30)</f>
        <v>-4105.1328</v>
      </c>
      <c r="AF212" s="13" t="n">
        <f aca="false">IF(ISBLANK(Actuals!AG30),-4024.64*Escalation!$B$29,Actuals!AG30)</f>
        <v>-4105.1328</v>
      </c>
      <c r="AG212" s="13" t="n">
        <f aca="false">IF(ISBLANK(Actuals!AH30),-4024.64*Escalation!$B$30,Actuals!AH30)</f>
        <v>-4105.1328</v>
      </c>
      <c r="AH212" s="13" t="n">
        <f aca="false">IF(ISBLANK(Actuals!AI30),-4024.64*Escalation!$B$31,Actuals!AI30)</f>
        <v>-4105.1328</v>
      </c>
      <c r="AI212" s="13" t="n">
        <f aca="false">IF(ISBLANK(Actuals!AJ30),-4024.64*Escalation!$B$32,Actuals!AJ30)</f>
        <v>-4105.1328</v>
      </c>
      <c r="AJ212" s="13" t="n">
        <f aca="false">IF(ISBLANK(Actuals!AK30),-4024.64*Escalation!$B$33,Actuals!AK30)</f>
        <v>-4105.1328</v>
      </c>
      <c r="AK212" s="13" t="n">
        <f aca="false">IF(ISBLANK(Actuals!AL30),-4024.64*Escalation!$B$34,Actuals!AL30)</f>
        <v>-4105.1328</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-4187.235456</v>
      </c>
      <c r="AP212" s="13" t="n">
        <f aca="false">IF(ISBLANK(Actuals!AQ30),-4024.64*Escalation!$B$39,Actuals!AQ30)</f>
        <v>-4187.235456</v>
      </c>
      <c r="AQ212" s="13" t="n">
        <f aca="false">IF(ISBLANK(Actuals!AR30),-4024.64*Escalation!$B$40,Actuals!AR30)</f>
        <v>-4187.235456</v>
      </c>
      <c r="AR212" s="13" t="n">
        <f aca="false">IF(ISBLANK(Actuals!AS30),-4024.64*Escalation!$B$41,Actuals!AS30)</f>
        <v>-4187.235456</v>
      </c>
      <c r="AS212" s="13" t="n">
        <f aca="false">IF(ISBLANK(Actuals!AT30),-4024.64*Escalation!$B$42,Actuals!AT30)</f>
        <v>-4187.235456</v>
      </c>
      <c r="AT212" s="13" t="n">
        <f aca="false">IF(ISBLANK(Actuals!AU30),-4024.64*Escalation!$B$43,Actuals!AU30)</f>
        <v>-4187.235456</v>
      </c>
      <c r="AU212" s="13" t="n">
        <f aca="false">IF(ISBLANK(Actuals!AV30),-4024.64*Escalation!$B$44,Actuals!AV30)</f>
        <v>-4187.235456</v>
      </c>
      <c r="AV212" s="13" t="n">
        <f aca="false">IF(ISBLANK(Actuals!AW30),-4024.64*Escalation!$B$45,Actuals!AW30)</f>
        <v>-4187.235456</v>
      </c>
      <c r="AW212" s="13" t="n">
        <f aca="false">IF(ISBLANK(Actuals!AX30),-4024.64*Escalation!$B$46,Actuals!AX30)</f>
        <v>-4187.235456</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-4270.98016512</v>
      </c>
      <c r="BB212" s="13" t="n">
        <f aca="false">IF(ISBLANK(Actuals!BC30),-4024.64*Escalation!$B$51,Actuals!BC30)</f>
        <v>-4270.98016512</v>
      </c>
      <c r="BC212" s="13" t="n">
        <f aca="false">IF(ISBLANK(Actuals!BD30),-4024.64*Escalation!$B$52,Actuals!BD30)</f>
        <v>-4270.98016512</v>
      </c>
      <c r="BD212" s="13" t="n">
        <f aca="false">IF(ISBLANK(Actuals!BE30),-4024.64*Escalation!$B$53,Actuals!BE30)</f>
        <v>-4270.98016512</v>
      </c>
      <c r="BE212" s="13" t="n">
        <f aca="false">IF(ISBLANK(Actuals!BF30),-4024.64*Escalation!$B$54,Actuals!BF30)</f>
        <v>-4270.98016512</v>
      </c>
      <c r="BF212" s="13" t="n">
        <f aca="false">IF(ISBLANK(Actuals!BG30),-4024.64*Escalation!$B$55,Actuals!BG30)</f>
        <v>-4270.98016512</v>
      </c>
      <c r="BG212" s="13" t="n">
        <f aca="false">IF(ISBLANK(Actuals!BH30),-4024.64*Escalation!$B$56,Actuals!BH30)</f>
        <v>-4270.98016512</v>
      </c>
      <c r="BH212" s="13" t="n">
        <f aca="false">IF(ISBLANK(Actuals!BI30),-4024.64*Escalation!$B$57,Actuals!BI30)</f>
        <v>-4270.98016512</v>
      </c>
      <c r="BI212" s="13" t="n">
        <f aca="false">IF(ISBLANK(Actuals!BJ30),-4024.64*Escalation!$B$58,Actuals!BJ30)</f>
        <v>-4270.98016512</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-4356.3997684224</v>
      </c>
      <c r="BN212" s="13" t="n">
        <f aca="false">IF(ISBLANK(Actuals!BO30),-4024.64*Escalation!$B$63,Actuals!BO30)</f>
        <v>-4356.3997684224</v>
      </c>
      <c r="BO212" s="13" t="n">
        <f aca="false">IF(ISBLANK(Actuals!BP30),-4024.64*Escalation!$B$64,Actuals!BP30)</f>
        <v>-4356.3997684224</v>
      </c>
      <c r="BP212" s="13" t="n">
        <f aca="false">IF(ISBLANK(Actuals!BQ30),-4024.64*Escalation!$B$65,Actuals!BQ30)</f>
        <v>-4356.3997684224</v>
      </c>
      <c r="BQ212" s="13" t="n">
        <f aca="false">IF(ISBLANK(Actuals!BR30),-4024.64*Escalation!$B$66,Actuals!BR30)</f>
        <v>-4356.3997684224</v>
      </c>
      <c r="BR212" s="13" t="n">
        <f aca="false">IF(ISBLANK(Actuals!BS30),-4024.64*Escalation!$B$67,Actuals!BS30)</f>
        <v>-4356.3997684224</v>
      </c>
      <c r="BS212" s="13" t="n">
        <f aca="false">IF(ISBLANK(Actuals!BT30),-4024.64*Escalation!$B$68,Actuals!BT30)</f>
        <v>-4356.3997684224</v>
      </c>
      <c r="BT212" s="13" t="n">
        <f aca="false">IF(ISBLANK(Actuals!BU30),-4024.64*Escalation!$B$69,Actuals!BU30)</f>
        <v>-4356.3997684224</v>
      </c>
      <c r="BU212" s="13" t="n">
        <f aca="false">IF(ISBLANK(Actuals!BV30),-4024.64*Escalation!$B$70,Actuals!BV30)</f>
        <v>-4356.3997684224</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-4443.52776379085</v>
      </c>
      <c r="BZ212" s="13" t="n">
        <f aca="false">IF(ISBLANK(Actuals!CA30),-4024.64*Escalation!$B$75,Actuals!CA30)</f>
        <v>-4443.52776379085</v>
      </c>
      <c r="CA212" s="13" t="n">
        <f aca="false">IF(ISBLANK(Actuals!CB30),-4024.64*Escalation!$B$76,Actuals!CB30)</f>
        <v>-4443.52776379085</v>
      </c>
      <c r="CB212" s="13" t="n">
        <f aca="false">IF(ISBLANK(Actuals!CC30),-4024.64*Escalation!$B$77,Actuals!CC30)</f>
        <v>-4443.52776379085</v>
      </c>
      <c r="CC212" s="13" t="n">
        <f aca="false">IF(ISBLANK(Actuals!CD30),-4024.64*Escalation!$B$78,Actuals!CD30)</f>
        <v>-4443.52776379085</v>
      </c>
      <c r="CD212" s="13" t="n">
        <f aca="false">IF(ISBLANK(Actuals!CE30),-4024.64*Escalation!$B$79,Actuals!CE30)</f>
        <v>-4443.52776379085</v>
      </c>
      <c r="CE212" s="13" t="n">
        <f aca="false">IF(ISBLANK(Actuals!CF30),-4024.64*Escalation!$B$80,Actuals!CF30)</f>
        <v>-4443.52776379085</v>
      </c>
      <c r="CF212" s="13" t="n">
        <f aca="false">IF(ISBLANK(Actuals!CG30),-4024.64*Escalation!$B$81,Actuals!CG30)</f>
        <v>-4443.52776379085</v>
      </c>
      <c r="CG212" s="13" t="n">
        <f aca="false">IF(ISBLANK(Actuals!CH30),-4024.64*Escalation!$B$82,Actuals!CH30)</f>
        <v>-4443.52776379085</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-4532.39831906667</v>
      </c>
      <c r="CL212" s="13" t="n">
        <f aca="false">IF(ISBLANK(Actuals!CM30),-4024.64*Escalation!$B$87,Actuals!CM30)</f>
        <v>-4532.39831906667</v>
      </c>
      <c r="CM212" s="13" t="n">
        <f aca="false">IF(ISBLANK(Actuals!CN30),-4024.64*Escalation!$B$88,Actuals!CN30)</f>
        <v>-4532.39831906667</v>
      </c>
      <c r="CN212" s="13" t="n">
        <f aca="false">IF(ISBLANK(Actuals!CO30),-4024.64*Escalation!$B$89,Actuals!CO30)</f>
        <v>-4532.39831906667</v>
      </c>
      <c r="CO212" s="13" t="n">
        <f aca="false">IF(ISBLANK(Actuals!CP30),-4024.64*Escalation!$B$90,Actuals!CP30)</f>
        <v>-4532.39831906667</v>
      </c>
      <c r="CP212" s="13" t="n">
        <f aca="false">IF(ISBLANK(Actuals!CQ30),-4024.64*Escalation!$B$91,Actuals!CQ30)</f>
        <v>-4532.39831906667</v>
      </c>
      <c r="CQ212" s="13" t="n">
        <f aca="false">IF(ISBLANK(Actuals!CR30),-4024.64*Escalation!$B$92,Actuals!CR30)</f>
        <v>-4532.39831906667</v>
      </c>
      <c r="CR212" s="13" t="n">
        <f aca="false">IF(ISBLANK(Actuals!CS30),-4024.64*Escalation!$B$93,Actuals!CS30)</f>
        <v>-4532.39831906667</v>
      </c>
      <c r="CS212" s="13" t="n">
        <f aca="false">IF(ISBLANK(Actuals!CT30),-4024.64*Escalation!$B$94,Actuals!CT30)</f>
        <v>-4532.39831906667</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-4623.046285448</v>
      </c>
      <c r="CX212" s="13" t="n">
        <f aca="false">IF(ISBLANK(Actuals!CY30),-4024.64*Escalation!$B$99,Actuals!CY30)</f>
        <v>-4623.046285448</v>
      </c>
      <c r="CY212" s="13" t="n">
        <f aca="false">IF(ISBLANK(Actuals!CZ30),-4024.64*Escalation!$B$100,Actuals!CZ30)</f>
        <v>-4623.046285448</v>
      </c>
      <c r="CZ212" s="13" t="n">
        <f aca="false">IF(ISBLANK(Actuals!DA30),-4024.64*Escalation!$B$101,Actuals!DA30)</f>
        <v>-4623.046285448</v>
      </c>
      <c r="DA212" s="13" t="n">
        <f aca="false">IF(ISBLANK(Actuals!DB30),-4024.64*Escalation!$B$102,Actuals!DB30)</f>
        <v>-4623.046285448</v>
      </c>
      <c r="DB212" s="13" t="n">
        <f aca="false">IF(ISBLANK(Actuals!DC30),-4024.64*Escalation!$B$103,Actuals!DC30)</f>
        <v>-4623.046285448</v>
      </c>
      <c r="DC212" s="13" t="n">
        <f aca="false">IF(ISBLANK(Actuals!DD30),-4024.64*Escalation!$B$104,Actuals!DD30)</f>
        <v>-4623.046285448</v>
      </c>
      <c r="DD212" s="13" t="n">
        <f aca="false">IF(ISBLANK(Actuals!DE30),-4024.64*Escalation!$B$105,Actuals!DE30)</f>
        <v>-4623.046285448</v>
      </c>
      <c r="DE212" s="13" t="n">
        <f aca="false">IF(ISBLANK(Actuals!DF30),-4024.64*Escalation!$B$106,Actuals!DF30)</f>
        <v>-4623.046285448</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-359.13</v>
      </c>
      <c r="R213" s="13" t="n">
        <f aca="false">IF(ISBLANK(Actuals!S31),-359.13*Escalation!$B$15,Actuals!S31)</f>
        <v>-359.13</v>
      </c>
      <c r="S213" s="13" t="n">
        <f aca="false">IF(ISBLANK(Actuals!T31),-359.13*Escalation!$B$16,Actuals!T31)</f>
        <v>-359.13</v>
      </c>
      <c r="T213" s="13" t="n">
        <f aca="false">IF(ISBLANK(Actuals!U31),-359.13*Escalation!$B$17,Actuals!U31)</f>
        <v>-359.13</v>
      </c>
      <c r="U213" s="13" t="n">
        <f aca="false">IF(ISBLANK(Actuals!V31),-359.13*Escalation!$B$18,Actuals!V31)</f>
        <v>-359.13</v>
      </c>
      <c r="V213" s="13" t="n">
        <f aca="false">IF(ISBLANK(Actuals!W31),-359.13*Escalation!$B$19,Actuals!W31)</f>
        <v>-359.13</v>
      </c>
      <c r="W213" s="13" t="n">
        <f aca="false">IF(ISBLANK(Actuals!X31),-359.13*Escalation!$B$20,Actuals!X31)</f>
        <v>-359.13</v>
      </c>
      <c r="X213" s="13" t="n">
        <f aca="false">IF(ISBLANK(Actuals!Y31),-359.13*Escalation!$B$21,Actuals!Y31)</f>
        <v>-359.13</v>
      </c>
      <c r="Y213" s="13" t="n">
        <f aca="false">IF(ISBLANK(Actuals!Z31),-359.13*Escalation!$B$22,Actuals!Z31)</f>
        <v>-359.13</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-366.3126</v>
      </c>
      <c r="AD213" s="13" t="n">
        <f aca="false">IF(ISBLANK(Actuals!AE31),-359.13*Escalation!$B$27,Actuals!AE31)</f>
        <v>-366.3126</v>
      </c>
      <c r="AE213" s="13" t="n">
        <f aca="false">IF(ISBLANK(Actuals!AF31),-359.13*Escalation!$B$28,Actuals!AF31)</f>
        <v>-366.3126</v>
      </c>
      <c r="AF213" s="13" t="n">
        <f aca="false">IF(ISBLANK(Actuals!AG31),-359.13*Escalation!$B$29,Actuals!AG31)</f>
        <v>-366.3126</v>
      </c>
      <c r="AG213" s="13" t="n">
        <f aca="false">IF(ISBLANK(Actuals!AH31),-359.13*Escalation!$B$30,Actuals!AH31)</f>
        <v>-366.3126</v>
      </c>
      <c r="AH213" s="13" t="n">
        <f aca="false">IF(ISBLANK(Actuals!AI31),-359.13*Escalation!$B$31,Actuals!AI31)</f>
        <v>-366.3126</v>
      </c>
      <c r="AI213" s="13" t="n">
        <f aca="false">IF(ISBLANK(Actuals!AJ31),-359.13*Escalation!$B$32,Actuals!AJ31)</f>
        <v>-366.3126</v>
      </c>
      <c r="AJ213" s="13" t="n">
        <f aca="false">IF(ISBLANK(Actuals!AK31),-359.13*Escalation!$B$33,Actuals!AK31)</f>
        <v>-366.3126</v>
      </c>
      <c r="AK213" s="13" t="n">
        <f aca="false">IF(ISBLANK(Actuals!AL31),-359.13*Escalation!$B$34,Actuals!AL31)</f>
        <v>-366.3126</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-373.638852</v>
      </c>
      <c r="AP213" s="13" t="n">
        <f aca="false">IF(ISBLANK(Actuals!AQ31),-359.13*Escalation!$B$39,Actuals!AQ31)</f>
        <v>-373.638852</v>
      </c>
      <c r="AQ213" s="13" t="n">
        <f aca="false">IF(ISBLANK(Actuals!AR31),-359.13*Escalation!$B$40,Actuals!AR31)</f>
        <v>-373.638852</v>
      </c>
      <c r="AR213" s="13" t="n">
        <f aca="false">IF(ISBLANK(Actuals!AS31),-359.13*Escalation!$B$41,Actuals!AS31)</f>
        <v>-373.638852</v>
      </c>
      <c r="AS213" s="13" t="n">
        <f aca="false">IF(ISBLANK(Actuals!AT31),-359.13*Escalation!$B$42,Actuals!AT31)</f>
        <v>-373.638852</v>
      </c>
      <c r="AT213" s="13" t="n">
        <f aca="false">IF(ISBLANK(Actuals!AU31),-359.13*Escalation!$B$43,Actuals!AU31)</f>
        <v>-373.638852</v>
      </c>
      <c r="AU213" s="13" t="n">
        <f aca="false">IF(ISBLANK(Actuals!AV31),-359.13*Escalation!$B$44,Actuals!AV31)</f>
        <v>-373.638852</v>
      </c>
      <c r="AV213" s="13" t="n">
        <f aca="false">IF(ISBLANK(Actuals!AW31),-359.13*Escalation!$B$45,Actuals!AW31)</f>
        <v>-373.638852</v>
      </c>
      <c r="AW213" s="13" t="n">
        <f aca="false">IF(ISBLANK(Actuals!AX31),-359.13*Escalation!$B$46,Actuals!AX31)</f>
        <v>-373.638852</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-381.11162904</v>
      </c>
      <c r="BB213" s="13" t="n">
        <f aca="false">IF(ISBLANK(Actuals!BC31),-359.13*Escalation!$B$51,Actuals!BC31)</f>
        <v>-381.11162904</v>
      </c>
      <c r="BC213" s="13" t="n">
        <f aca="false">IF(ISBLANK(Actuals!BD31),-359.13*Escalation!$B$52,Actuals!BD31)</f>
        <v>-381.11162904</v>
      </c>
      <c r="BD213" s="13" t="n">
        <f aca="false">IF(ISBLANK(Actuals!BE31),-359.13*Escalation!$B$53,Actuals!BE31)</f>
        <v>-381.11162904</v>
      </c>
      <c r="BE213" s="13" t="n">
        <f aca="false">IF(ISBLANK(Actuals!BF31),-359.13*Escalation!$B$54,Actuals!BF31)</f>
        <v>-381.11162904</v>
      </c>
      <c r="BF213" s="13" t="n">
        <f aca="false">IF(ISBLANK(Actuals!BG31),-359.13*Escalation!$B$55,Actuals!BG31)</f>
        <v>-381.11162904</v>
      </c>
      <c r="BG213" s="13" t="n">
        <f aca="false">IF(ISBLANK(Actuals!BH31),-359.13*Escalation!$B$56,Actuals!BH31)</f>
        <v>-381.11162904</v>
      </c>
      <c r="BH213" s="13" t="n">
        <f aca="false">IF(ISBLANK(Actuals!BI31),-359.13*Escalation!$B$57,Actuals!BI31)</f>
        <v>-381.11162904</v>
      </c>
      <c r="BI213" s="13" t="n">
        <f aca="false">IF(ISBLANK(Actuals!BJ31),-359.13*Escalation!$B$58,Actuals!BJ31)</f>
        <v>-381.11162904</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-388.7338616208</v>
      </c>
      <c r="BN213" s="13" t="n">
        <f aca="false">IF(ISBLANK(Actuals!BO31),-359.13*Escalation!$B$63,Actuals!BO31)</f>
        <v>-388.7338616208</v>
      </c>
      <c r="BO213" s="13" t="n">
        <f aca="false">IF(ISBLANK(Actuals!BP31),-359.13*Escalation!$B$64,Actuals!BP31)</f>
        <v>-388.7338616208</v>
      </c>
      <c r="BP213" s="13" t="n">
        <f aca="false">IF(ISBLANK(Actuals!BQ31),-359.13*Escalation!$B$65,Actuals!BQ31)</f>
        <v>-388.7338616208</v>
      </c>
      <c r="BQ213" s="13" t="n">
        <f aca="false">IF(ISBLANK(Actuals!BR31),-359.13*Escalation!$B$66,Actuals!BR31)</f>
        <v>-388.7338616208</v>
      </c>
      <c r="BR213" s="13" t="n">
        <f aca="false">IF(ISBLANK(Actuals!BS31),-359.13*Escalation!$B$67,Actuals!BS31)</f>
        <v>-388.7338616208</v>
      </c>
      <c r="BS213" s="13" t="n">
        <f aca="false">IF(ISBLANK(Actuals!BT31),-359.13*Escalation!$B$68,Actuals!BT31)</f>
        <v>-388.7338616208</v>
      </c>
      <c r="BT213" s="13" t="n">
        <f aca="false">IF(ISBLANK(Actuals!BU31),-359.13*Escalation!$B$69,Actuals!BU31)</f>
        <v>-388.7338616208</v>
      </c>
      <c r="BU213" s="13" t="n">
        <f aca="false">IF(ISBLANK(Actuals!BV31),-359.13*Escalation!$B$70,Actuals!BV31)</f>
        <v>-388.7338616208</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-396.508538853216</v>
      </c>
      <c r="BZ213" s="13" t="n">
        <f aca="false">IF(ISBLANK(Actuals!CA31),-359.13*Escalation!$B$75,Actuals!CA31)</f>
        <v>-396.508538853216</v>
      </c>
      <c r="CA213" s="13" t="n">
        <f aca="false">IF(ISBLANK(Actuals!CB31),-359.13*Escalation!$B$76,Actuals!CB31)</f>
        <v>-396.508538853216</v>
      </c>
      <c r="CB213" s="13" t="n">
        <f aca="false">IF(ISBLANK(Actuals!CC31),-359.13*Escalation!$B$77,Actuals!CC31)</f>
        <v>-396.508538853216</v>
      </c>
      <c r="CC213" s="13" t="n">
        <f aca="false">IF(ISBLANK(Actuals!CD31),-359.13*Escalation!$B$78,Actuals!CD31)</f>
        <v>-396.508538853216</v>
      </c>
      <c r="CD213" s="13" t="n">
        <f aca="false">IF(ISBLANK(Actuals!CE31),-359.13*Escalation!$B$79,Actuals!CE31)</f>
        <v>-396.508538853216</v>
      </c>
      <c r="CE213" s="13" t="n">
        <f aca="false">IF(ISBLANK(Actuals!CF31),-359.13*Escalation!$B$80,Actuals!CF31)</f>
        <v>-396.508538853216</v>
      </c>
      <c r="CF213" s="13" t="n">
        <f aca="false">IF(ISBLANK(Actuals!CG31),-359.13*Escalation!$B$81,Actuals!CG31)</f>
        <v>-396.508538853216</v>
      </c>
      <c r="CG213" s="13" t="n">
        <f aca="false">IF(ISBLANK(Actuals!CH31),-359.13*Escalation!$B$82,Actuals!CH31)</f>
        <v>-396.508538853216</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-404.43870963028</v>
      </c>
      <c r="CL213" s="13" t="n">
        <f aca="false">IF(ISBLANK(Actuals!CM31),-359.13*Escalation!$B$87,Actuals!CM31)</f>
        <v>-404.43870963028</v>
      </c>
      <c r="CM213" s="13" t="n">
        <f aca="false">IF(ISBLANK(Actuals!CN31),-359.13*Escalation!$B$88,Actuals!CN31)</f>
        <v>-404.43870963028</v>
      </c>
      <c r="CN213" s="13" t="n">
        <f aca="false">IF(ISBLANK(Actuals!CO31),-359.13*Escalation!$B$89,Actuals!CO31)</f>
        <v>-404.43870963028</v>
      </c>
      <c r="CO213" s="13" t="n">
        <f aca="false">IF(ISBLANK(Actuals!CP31),-359.13*Escalation!$B$90,Actuals!CP31)</f>
        <v>-404.43870963028</v>
      </c>
      <c r="CP213" s="13" t="n">
        <f aca="false">IF(ISBLANK(Actuals!CQ31),-359.13*Escalation!$B$91,Actuals!CQ31)</f>
        <v>-404.43870963028</v>
      </c>
      <c r="CQ213" s="13" t="n">
        <f aca="false">IF(ISBLANK(Actuals!CR31),-359.13*Escalation!$B$92,Actuals!CR31)</f>
        <v>-404.43870963028</v>
      </c>
      <c r="CR213" s="13" t="n">
        <f aca="false">IF(ISBLANK(Actuals!CS31),-359.13*Escalation!$B$93,Actuals!CS31)</f>
        <v>-404.43870963028</v>
      </c>
      <c r="CS213" s="13" t="n">
        <f aca="false">IF(ISBLANK(Actuals!CT31),-359.13*Escalation!$B$94,Actuals!CT31)</f>
        <v>-404.43870963028</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-412.527483822886</v>
      </c>
      <c r="CX213" s="13" t="n">
        <f aca="false">IF(ISBLANK(Actuals!CY31),-359.13*Escalation!$B$99,Actuals!CY31)</f>
        <v>-412.527483822886</v>
      </c>
      <c r="CY213" s="13" t="n">
        <f aca="false">IF(ISBLANK(Actuals!CZ31),-359.13*Escalation!$B$100,Actuals!CZ31)</f>
        <v>-412.527483822886</v>
      </c>
      <c r="CZ213" s="13" t="n">
        <f aca="false">IF(ISBLANK(Actuals!DA31),-359.13*Escalation!$B$101,Actuals!DA31)</f>
        <v>-412.527483822886</v>
      </c>
      <c r="DA213" s="13" t="n">
        <f aca="false">IF(ISBLANK(Actuals!DB31),-359.13*Escalation!$B$102,Actuals!DB31)</f>
        <v>-412.527483822886</v>
      </c>
      <c r="DB213" s="13" t="n">
        <f aca="false">IF(ISBLANK(Actuals!DC31),-359.13*Escalation!$B$103,Actuals!DC31)</f>
        <v>-412.527483822886</v>
      </c>
      <c r="DC213" s="13" t="n">
        <f aca="false">IF(ISBLANK(Actuals!DD31),-359.13*Escalation!$B$104,Actuals!DD31)</f>
        <v>-412.527483822886</v>
      </c>
      <c r="DD213" s="13" t="n">
        <f aca="false">IF(ISBLANK(Actuals!DE31),-359.13*Escalation!$B$105,Actuals!DE31)</f>
        <v>-412.527483822886</v>
      </c>
      <c r="DE213" s="13" t="n">
        <f aca="false">IF(ISBLANK(Actuals!DF31),-359.13*Escalation!$B$106,Actuals!DF31)</f>
        <v>-412.527483822886</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-26.33</v>
      </c>
      <c r="R214" s="13" t="n">
        <f aca="false">IF(ISBLANK(Actuals!S32),-26.33*Escalation!$B$15,Actuals!S32)</f>
        <v>-26.33</v>
      </c>
      <c r="S214" s="13" t="n">
        <f aca="false">IF(ISBLANK(Actuals!T32),-26.33*Escalation!$B$16,Actuals!T32)</f>
        <v>-26.33</v>
      </c>
      <c r="T214" s="13" t="n">
        <f aca="false">IF(ISBLANK(Actuals!U32),-26.33*Escalation!$B$17,Actuals!U32)</f>
        <v>-26.33</v>
      </c>
      <c r="U214" s="13" t="n">
        <f aca="false">IF(ISBLANK(Actuals!V32),-26.33*Escalation!$B$18,Actuals!V32)</f>
        <v>-26.33</v>
      </c>
      <c r="V214" s="13" t="n">
        <f aca="false">IF(ISBLANK(Actuals!W32),-26.33*Escalation!$B$19,Actuals!W32)</f>
        <v>-26.33</v>
      </c>
      <c r="W214" s="13" t="n">
        <f aca="false">IF(ISBLANK(Actuals!X32),-26.33*Escalation!$B$20,Actuals!X32)</f>
        <v>-26.33</v>
      </c>
      <c r="X214" s="13" t="n">
        <f aca="false">IF(ISBLANK(Actuals!Y32),-26.33*Escalation!$B$21,Actuals!Y32)</f>
        <v>-26.33</v>
      </c>
      <c r="Y214" s="13" t="n">
        <f aca="false">IF(ISBLANK(Actuals!Z32),-26.33*Escalation!$B$22,Actuals!Z32)</f>
        <v>-26.33</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-26.8566</v>
      </c>
      <c r="AD214" s="13" t="n">
        <f aca="false">IF(ISBLANK(Actuals!AE32),-26.33*Escalation!$B$27,Actuals!AE32)</f>
        <v>-26.8566</v>
      </c>
      <c r="AE214" s="13" t="n">
        <f aca="false">IF(ISBLANK(Actuals!AF32),-26.33*Escalation!$B$28,Actuals!AF32)</f>
        <v>-26.8566</v>
      </c>
      <c r="AF214" s="13" t="n">
        <f aca="false">IF(ISBLANK(Actuals!AG32),-26.33*Escalation!$B$29,Actuals!AG32)</f>
        <v>-26.8566</v>
      </c>
      <c r="AG214" s="13" t="n">
        <f aca="false">IF(ISBLANK(Actuals!AH32),-26.33*Escalation!$B$30,Actuals!AH32)</f>
        <v>-26.8566</v>
      </c>
      <c r="AH214" s="13" t="n">
        <f aca="false">IF(ISBLANK(Actuals!AI32),-26.33*Escalation!$B$31,Actuals!AI32)</f>
        <v>-26.8566</v>
      </c>
      <c r="AI214" s="13" t="n">
        <f aca="false">IF(ISBLANK(Actuals!AJ32),-26.33*Escalation!$B$32,Actuals!AJ32)</f>
        <v>-26.8566</v>
      </c>
      <c r="AJ214" s="13" t="n">
        <f aca="false">IF(ISBLANK(Actuals!AK32),-26.33*Escalation!$B$33,Actuals!AK32)</f>
        <v>-26.8566</v>
      </c>
      <c r="AK214" s="13" t="n">
        <f aca="false">IF(ISBLANK(Actuals!AL32),-26.33*Escalation!$B$34,Actuals!AL32)</f>
        <v>-26.8566</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-27.393732</v>
      </c>
      <c r="AP214" s="13" t="n">
        <f aca="false">IF(ISBLANK(Actuals!AQ32),-26.33*Escalation!$B$39,Actuals!AQ32)</f>
        <v>-27.393732</v>
      </c>
      <c r="AQ214" s="13" t="n">
        <f aca="false">IF(ISBLANK(Actuals!AR32),-26.33*Escalation!$B$40,Actuals!AR32)</f>
        <v>-27.393732</v>
      </c>
      <c r="AR214" s="13" t="n">
        <f aca="false">IF(ISBLANK(Actuals!AS32),-26.33*Escalation!$B$41,Actuals!AS32)</f>
        <v>-27.393732</v>
      </c>
      <c r="AS214" s="13" t="n">
        <f aca="false">IF(ISBLANK(Actuals!AT32),-26.33*Escalation!$B$42,Actuals!AT32)</f>
        <v>-27.393732</v>
      </c>
      <c r="AT214" s="13" t="n">
        <f aca="false">IF(ISBLANK(Actuals!AU32),-26.33*Escalation!$B$43,Actuals!AU32)</f>
        <v>-27.393732</v>
      </c>
      <c r="AU214" s="13" t="n">
        <f aca="false">IF(ISBLANK(Actuals!AV32),-26.33*Escalation!$B$44,Actuals!AV32)</f>
        <v>-27.393732</v>
      </c>
      <c r="AV214" s="13" t="n">
        <f aca="false">IF(ISBLANK(Actuals!AW32),-26.33*Escalation!$B$45,Actuals!AW32)</f>
        <v>-27.393732</v>
      </c>
      <c r="AW214" s="13" t="n">
        <f aca="false">IF(ISBLANK(Actuals!AX32),-26.33*Escalation!$B$46,Actuals!AX32)</f>
        <v>-27.393732</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-27.94160664</v>
      </c>
      <c r="BB214" s="13" t="n">
        <f aca="false">IF(ISBLANK(Actuals!BC32),-26.33*Escalation!$B$51,Actuals!BC32)</f>
        <v>-27.94160664</v>
      </c>
      <c r="BC214" s="13" t="n">
        <f aca="false">IF(ISBLANK(Actuals!BD32),-26.33*Escalation!$B$52,Actuals!BD32)</f>
        <v>-27.94160664</v>
      </c>
      <c r="BD214" s="13" t="n">
        <f aca="false">IF(ISBLANK(Actuals!BE32),-26.33*Escalation!$B$53,Actuals!BE32)</f>
        <v>-27.94160664</v>
      </c>
      <c r="BE214" s="13" t="n">
        <f aca="false">IF(ISBLANK(Actuals!BF32),-26.33*Escalation!$B$54,Actuals!BF32)</f>
        <v>-27.94160664</v>
      </c>
      <c r="BF214" s="13" t="n">
        <f aca="false">IF(ISBLANK(Actuals!BG32),-26.33*Escalation!$B$55,Actuals!BG32)</f>
        <v>-27.94160664</v>
      </c>
      <c r="BG214" s="13" t="n">
        <f aca="false">IF(ISBLANK(Actuals!BH32),-26.33*Escalation!$B$56,Actuals!BH32)</f>
        <v>-27.94160664</v>
      </c>
      <c r="BH214" s="13" t="n">
        <f aca="false">IF(ISBLANK(Actuals!BI32),-26.33*Escalation!$B$57,Actuals!BI32)</f>
        <v>-27.94160664</v>
      </c>
      <c r="BI214" s="13" t="n">
        <f aca="false">IF(ISBLANK(Actuals!BJ32),-26.33*Escalation!$B$58,Actuals!BJ32)</f>
        <v>-27.94160664</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-28.5004387728</v>
      </c>
      <c r="BN214" s="13" t="n">
        <f aca="false">IF(ISBLANK(Actuals!BO32),-26.33*Escalation!$B$63,Actuals!BO32)</f>
        <v>-28.5004387728</v>
      </c>
      <c r="BO214" s="13" t="n">
        <f aca="false">IF(ISBLANK(Actuals!BP32),-26.33*Escalation!$B$64,Actuals!BP32)</f>
        <v>-28.5004387728</v>
      </c>
      <c r="BP214" s="13" t="n">
        <f aca="false">IF(ISBLANK(Actuals!BQ32),-26.33*Escalation!$B$65,Actuals!BQ32)</f>
        <v>-28.5004387728</v>
      </c>
      <c r="BQ214" s="13" t="n">
        <f aca="false">IF(ISBLANK(Actuals!BR32),-26.33*Escalation!$B$66,Actuals!BR32)</f>
        <v>-28.5004387728</v>
      </c>
      <c r="BR214" s="13" t="n">
        <f aca="false">IF(ISBLANK(Actuals!BS32),-26.33*Escalation!$B$67,Actuals!BS32)</f>
        <v>-28.5004387728</v>
      </c>
      <c r="BS214" s="13" t="n">
        <f aca="false">IF(ISBLANK(Actuals!BT32),-26.33*Escalation!$B$68,Actuals!BT32)</f>
        <v>-28.5004387728</v>
      </c>
      <c r="BT214" s="13" t="n">
        <f aca="false">IF(ISBLANK(Actuals!BU32),-26.33*Escalation!$B$69,Actuals!BU32)</f>
        <v>-28.5004387728</v>
      </c>
      <c r="BU214" s="13" t="n">
        <f aca="false">IF(ISBLANK(Actuals!BV32),-26.33*Escalation!$B$70,Actuals!BV32)</f>
        <v>-28.5004387728</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-29.070447548256</v>
      </c>
      <c r="BZ214" s="13" t="n">
        <f aca="false">IF(ISBLANK(Actuals!CA32),-26.33*Escalation!$B$75,Actuals!CA32)</f>
        <v>-29.070447548256</v>
      </c>
      <c r="CA214" s="13" t="n">
        <f aca="false">IF(ISBLANK(Actuals!CB32),-26.33*Escalation!$B$76,Actuals!CB32)</f>
        <v>-29.070447548256</v>
      </c>
      <c r="CB214" s="13" t="n">
        <f aca="false">IF(ISBLANK(Actuals!CC32),-26.33*Escalation!$B$77,Actuals!CC32)</f>
        <v>-29.070447548256</v>
      </c>
      <c r="CC214" s="13" t="n">
        <f aca="false">IF(ISBLANK(Actuals!CD32),-26.33*Escalation!$B$78,Actuals!CD32)</f>
        <v>-29.070447548256</v>
      </c>
      <c r="CD214" s="13" t="n">
        <f aca="false">IF(ISBLANK(Actuals!CE32),-26.33*Escalation!$B$79,Actuals!CE32)</f>
        <v>-29.070447548256</v>
      </c>
      <c r="CE214" s="13" t="n">
        <f aca="false">IF(ISBLANK(Actuals!CF32),-26.33*Escalation!$B$80,Actuals!CF32)</f>
        <v>-29.070447548256</v>
      </c>
      <c r="CF214" s="13" t="n">
        <f aca="false">IF(ISBLANK(Actuals!CG32),-26.33*Escalation!$B$81,Actuals!CG32)</f>
        <v>-29.070447548256</v>
      </c>
      <c r="CG214" s="13" t="n">
        <f aca="false">IF(ISBLANK(Actuals!CH32),-26.33*Escalation!$B$82,Actuals!CH32)</f>
        <v>-29.070447548256</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-29.6518564992211</v>
      </c>
      <c r="CL214" s="13" t="n">
        <f aca="false">IF(ISBLANK(Actuals!CM32),-26.33*Escalation!$B$87,Actuals!CM32)</f>
        <v>-29.6518564992211</v>
      </c>
      <c r="CM214" s="13" t="n">
        <f aca="false">IF(ISBLANK(Actuals!CN32),-26.33*Escalation!$B$88,Actuals!CN32)</f>
        <v>-29.6518564992211</v>
      </c>
      <c r="CN214" s="13" t="n">
        <f aca="false">IF(ISBLANK(Actuals!CO32),-26.33*Escalation!$B$89,Actuals!CO32)</f>
        <v>-29.6518564992211</v>
      </c>
      <c r="CO214" s="13" t="n">
        <f aca="false">IF(ISBLANK(Actuals!CP32),-26.33*Escalation!$B$90,Actuals!CP32)</f>
        <v>-29.6518564992211</v>
      </c>
      <c r="CP214" s="13" t="n">
        <f aca="false">IF(ISBLANK(Actuals!CQ32),-26.33*Escalation!$B$91,Actuals!CQ32)</f>
        <v>-29.6518564992211</v>
      </c>
      <c r="CQ214" s="13" t="n">
        <f aca="false">IF(ISBLANK(Actuals!CR32),-26.33*Escalation!$B$92,Actuals!CR32)</f>
        <v>-29.6518564992211</v>
      </c>
      <c r="CR214" s="13" t="n">
        <f aca="false">IF(ISBLANK(Actuals!CS32),-26.33*Escalation!$B$93,Actuals!CS32)</f>
        <v>-29.6518564992211</v>
      </c>
      <c r="CS214" s="13" t="n">
        <f aca="false">IF(ISBLANK(Actuals!CT32),-26.33*Escalation!$B$94,Actuals!CT32)</f>
        <v>-29.6518564992211</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-30.2448936292055</v>
      </c>
      <c r="CX214" s="13" t="n">
        <f aca="false">IF(ISBLANK(Actuals!CY32),-26.33*Escalation!$B$99,Actuals!CY32)</f>
        <v>-30.2448936292055</v>
      </c>
      <c r="CY214" s="13" t="n">
        <f aca="false">IF(ISBLANK(Actuals!CZ32),-26.33*Escalation!$B$100,Actuals!CZ32)</f>
        <v>-30.2448936292055</v>
      </c>
      <c r="CZ214" s="13" t="n">
        <f aca="false">IF(ISBLANK(Actuals!DA32),-26.33*Escalation!$B$101,Actuals!DA32)</f>
        <v>-30.2448936292055</v>
      </c>
      <c r="DA214" s="13" t="n">
        <f aca="false">IF(ISBLANK(Actuals!DB32),-26.33*Escalation!$B$102,Actuals!DB32)</f>
        <v>-30.2448936292055</v>
      </c>
      <c r="DB214" s="13" t="n">
        <f aca="false">IF(ISBLANK(Actuals!DC32),-26.33*Escalation!$B$103,Actuals!DC32)</f>
        <v>-30.2448936292055</v>
      </c>
      <c r="DC214" s="13" t="n">
        <f aca="false">IF(ISBLANK(Actuals!DD32),-26.33*Escalation!$B$104,Actuals!DD32)</f>
        <v>-30.2448936292055</v>
      </c>
      <c r="DD214" s="13" t="n">
        <f aca="false">IF(ISBLANK(Actuals!DE32),-26.33*Escalation!$B$105,Actuals!DE32)</f>
        <v>-30.2448936292055</v>
      </c>
      <c r="DE214" s="13" t="n">
        <f aca="false">IF(ISBLANK(Actuals!DF32),-26.33*Escalation!$B$106,Actuals!DF32)</f>
        <v>-30.2448936292055</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IF(ISBLANK(Actuals!L33),(-5300.8*Escalation!$B$8)-IF(OR(K$3=10,K$3=11),Assumptions!$B$153/2,0)-IF(AND(K$3&gt;=10,K$3&lt;=21),Assumptions!$B$154,IF(K$3&gt;=22,Assumptions!$B$155,0)),Actuals!L33)</f>
        <v>-5300.8</v>
      </c>
      <c r="L215" s="13" t="n">
        <f aca="false">IF(ISBLANK(Actuals!M33),(-5300.8*Escalation!$B$9)-IF(OR(L$3=10,L$3=11),Assumptions!$B$153/2,0)-IF(AND(L$3&gt;=10,L$3&lt;=21),Assumptions!$B$154,IF(L$3&gt;=22,Assumptions!$B$155,0)),Actuals!M33)</f>
        <v>-5300.8</v>
      </c>
      <c r="M215" s="13" t="n">
        <f aca="false">IF(ISBLANK(Actuals!N33),(-5300.8*Escalation!$B$10)-IF(OR(M$3=10,M$3=11),Assumptions!$B$153/2,0)-IF(AND(M$3&gt;=10,M$3&lt;=21),Assumptions!$B$154,IF(M$3&gt;=22,Assumptions!$B$155,0)),Actuals!N33)</f>
        <v>-5300.8</v>
      </c>
      <c r="N215" s="13" t="n">
        <f aca="false">IF(ISBLANK(Actuals!O33),(-5300.8*Escalation!$B$11)-IF(OR(N$3=10,N$3=11),Assumptions!$B$153/2,0)-IF(AND(N$3&gt;=10,N$3&lt;=21),Assumptions!$B$154,IF(N$3&gt;=22,Assumptions!$B$155,0)),Actuals!O33)</f>
        <v>-32800.8</v>
      </c>
      <c r="O215" s="13" t="n">
        <f aca="false">IF(ISBLANK(Actuals!P33),(-5300.8*Escalation!$B$12)-IF(OR(O$3=10,O$3=11),Assumptions!$B$153/2,0)-IF(AND(O$3&gt;=10,O$3&lt;=21),Assumptions!$B$154,IF(O$3&gt;=22,Assumptions!$B$155,0)),Actuals!P33)</f>
        <v>-32800.8</v>
      </c>
      <c r="P215" s="13" t="n">
        <f aca="false">IF(ISBLANK(Actuals!Q33),(-5300.8*Escalation!$B$13)-IF(OR(P$3=10,P$3=11),Assumptions!$B$153/2,0)-IF(AND(P$3&gt;=10,P$3&lt;=21),Assumptions!$B$154,IF(P$3&gt;=22,Assumptions!$B$155,0)),Actuals!Q33)</f>
        <v>-9300.8</v>
      </c>
      <c r="Q215" s="13" t="n">
        <f aca="false">IF(ISBLANK(Actuals!R33),(-5300.8*Escalation!$B$14)-IF(OR(Q$3=10,Q$3=11),Assumptions!$B$153/2,0)-IF(AND(Q$3&gt;=10,Q$3&lt;=21),Assumptions!$B$154,IF(Q$3&gt;=22,Assumptions!$B$155,0)),Actuals!R33)</f>
        <v>-9300.8</v>
      </c>
      <c r="R215" s="13" t="n">
        <f aca="false">IF(ISBLANK(Actuals!S33),(-5300.8*Escalation!$B$15)-IF(OR(R$3=10,R$3=11),Assumptions!$B$153/2,0)-IF(AND(R$3&gt;=10,R$3&lt;=21),Assumptions!$B$154,IF(R$3&gt;=22,Assumptions!$B$155,0)),Actuals!S33)</f>
        <v>-9300.8</v>
      </c>
      <c r="S215" s="13" t="n">
        <f aca="false">IF(ISBLANK(Actuals!T33),(-5300.8*Escalation!$B$16)-IF(OR(S$3=10,S$3=11),Assumptions!$B$153/2,0)-IF(AND(S$3&gt;=10,S$3&lt;=21),Assumptions!$B$154,IF(S$3&gt;=22,Assumptions!$B$155,0)),Actuals!T33)</f>
        <v>-9300.8</v>
      </c>
      <c r="T215" s="13" t="n">
        <f aca="false">IF(ISBLANK(Actuals!U33),(-5300.8*Escalation!$B$17)-IF(OR(T$3=10,T$3=11),Assumptions!$B$153/2,0)-IF(AND(T$3&gt;=10,T$3&lt;=21),Assumptions!$B$154,IF(T$3&gt;=22,Assumptions!$B$155,0)),Actuals!U33)</f>
        <v>-9300.8</v>
      </c>
      <c r="U215" s="13" t="n">
        <f aca="false">IF(ISBLANK(Actuals!V33),(-5300.8*Escalation!$B$18)-IF(OR(U$3=10,U$3=11),Assumptions!$B$153/2,0)-IF(AND(U$3&gt;=10,U$3&lt;=21),Assumptions!$B$154,IF(U$3&gt;=22,Assumptions!$B$155,0)),Actuals!V33)</f>
        <v>-9300.8</v>
      </c>
      <c r="V215" s="13" t="n">
        <f aca="false">IF(ISBLANK(Actuals!W33),(-5300.8*Escalation!$B$19)-IF(OR(V$3=10,V$3=11),Assumptions!$B$153/2,0)-IF(AND(V$3&gt;=10,V$3&lt;=21),Assumptions!$B$154,IF(V$3&gt;=22,Assumptions!$B$155,0)),Actuals!W33)</f>
        <v>-9300.8</v>
      </c>
      <c r="W215" s="13" t="n">
        <f aca="false">IF(ISBLANK(Actuals!X33),(-5300.8*Escalation!$B$20)-IF(OR(W$3=10,W$3=11),Assumptions!$B$153/2,0)-IF(AND(W$3&gt;=10,W$3&lt;=21),Assumptions!$B$154,IF(W$3&gt;=22,Assumptions!$B$155,0)),Actuals!X33)</f>
        <v>-9300.8</v>
      </c>
      <c r="X215" s="13" t="n">
        <f aca="false">IF(ISBLANK(Actuals!Y33),(-5300.8*Escalation!$B$21)-IF(OR(X$3=10,X$3=11),Assumptions!$B$153/2,0)-IF(AND(X$3&gt;=10,X$3&lt;=21),Assumptions!$B$154,IF(X$3&gt;=22,Assumptions!$B$155,0)),Actuals!Y33)</f>
        <v>-9300.8</v>
      </c>
      <c r="Y215" s="13" t="n">
        <f aca="false">IF(ISBLANK(Actuals!Z33),(-5300.8*Escalation!$B$22)-IF(OR(Y$3=10,Y$3=11),Assumptions!$B$153/2,0)-IF(AND(Y$3&gt;=10,Y$3&lt;=21),Assumptions!$B$154,IF(Y$3&gt;=22,Assumptions!$B$155,0)),Actuals!Z33)</f>
        <v>-9300.8</v>
      </c>
      <c r="Z215" s="13" t="n">
        <f aca="false">IF(ISBLANK(Actuals!AA33),(-5300.8*Escalation!$B$23)-IF(OR(Z$3=10,Z$3=11),Assumptions!$B$153/2,0)-IF(AND(Z$3&gt;=10,Z$3&lt;=21),Assumptions!$B$154,IF(Z$3&gt;=22,Assumptions!$B$155,0)),Actuals!AA33)</f>
        <v>-10956.816</v>
      </c>
      <c r="AA215" s="13" t="n">
        <f aca="false">IF(ISBLANK(Actuals!AB33),(-5300.8*Escalation!$B$24)-IF(OR(AA$3=10,AA$3=11),Assumptions!$B$153/2,0)-IF(AND(AA$3&gt;=10,AA$3&lt;=21),Assumptions!$B$154,IF(AA$3&gt;=22,Assumptions!$B$155,0)),Actuals!AB33)</f>
        <v>-10956.816</v>
      </c>
      <c r="AB215" s="13" t="n">
        <f aca="false">IF(ISBLANK(Actuals!AC33),(-5300.8*Escalation!$B$25)-IF(OR(AB$3=10,AB$3=11),Assumptions!$B$153/2,0)-IF(AND(AB$3&gt;=10,AB$3&lt;=21),Assumptions!$B$154,IF(AB$3&gt;=22,Assumptions!$B$155,0)),Actuals!AC33)</f>
        <v>-10956.816</v>
      </c>
      <c r="AC215" s="13" t="n">
        <f aca="false">IF(ISBLANK(Actuals!AD33),(-5300.8*Escalation!$B$26)-IF(OR(AC$3=10,AC$3=11),Assumptions!$B$153/2,0)-IF(AND(AC$3&gt;=10,AC$3&lt;=21),Assumptions!$B$154,IF(AC$3&gt;=22,Assumptions!$B$155,0)),Actuals!AD33)</f>
        <v>-10956.816</v>
      </c>
      <c r="AD215" s="13" t="n">
        <f aca="false">IF(ISBLANK(Actuals!AE33),(-5300.8*Escalation!$B$27)-IF(OR(AD$3=10,AD$3=11),Assumptions!$B$153/2,0)-IF(AND(AD$3&gt;=10,AD$3&lt;=21),Assumptions!$B$154,IF(AD$3&gt;=22,Assumptions!$B$155,0)),Actuals!AE33)</f>
        <v>-10956.816</v>
      </c>
      <c r="AE215" s="13" t="n">
        <f aca="false">IF(ISBLANK(Actuals!AF33),(-5300.8*Escalation!$B$28)-IF(OR(AE$3=10,AE$3=11),Assumptions!$B$153/2,0)-IF(AND(AE$3&gt;=10,AE$3&lt;=21),Assumptions!$B$154,IF(AE$3&gt;=22,Assumptions!$B$155,0)),Actuals!AF33)</f>
        <v>-10956.816</v>
      </c>
      <c r="AF215" s="13" t="n">
        <f aca="false">IF(ISBLANK(Actuals!AG33),(-5300.8*Escalation!$B$29)-IF(OR(AF$3=10,AF$3=11),Assumptions!$B$153/2,0)-IF(AND(AF$3&gt;=10,AF$3&lt;=21),Assumptions!$B$154,IF(AF$3&gt;=22,Assumptions!$B$155,0)),Actuals!AG33)</f>
        <v>-10956.816</v>
      </c>
      <c r="AG215" s="13" t="n">
        <f aca="false">IF(ISBLANK(Actuals!AH33),(-5300.8*Escalation!$B$30)-IF(OR(AG$3=10,AG$3=11),Assumptions!$B$153/2,0)-IF(AND(AG$3&gt;=10,AG$3&lt;=21),Assumptions!$B$154,IF(AG$3&gt;=22,Assumptions!$B$155,0)),Actuals!AH33)</f>
        <v>-10956.816</v>
      </c>
      <c r="AH215" s="13" t="n">
        <f aca="false">IF(ISBLANK(Actuals!AI33),(-5300.8*Escalation!$B$31)-IF(OR(AH$3=10,AH$3=11),Assumptions!$B$153/2,0)-IF(AND(AH$3&gt;=10,AH$3&lt;=21),Assumptions!$B$154,IF(AH$3&gt;=22,Assumptions!$B$155,0)),Actuals!AI33)</f>
        <v>-10956.816</v>
      </c>
      <c r="AI215" s="13" t="n">
        <f aca="false">IF(ISBLANK(Actuals!AJ33),(-5300.8*Escalation!$B$32)-IF(OR(AI$3=10,AI$3=11),Assumptions!$B$153/2,0)-IF(AND(AI$3&gt;=10,AI$3&lt;=21),Assumptions!$B$154,IF(AI$3&gt;=22,Assumptions!$B$155,0)),Actuals!AJ33)</f>
        <v>-10956.816</v>
      </c>
      <c r="AJ215" s="13" t="n">
        <f aca="false">IF(ISBLANK(Actuals!AK33),(-5300.8*Escalation!$B$33)-IF(OR(AJ$3=10,AJ$3=11),Assumptions!$B$153/2,0)-IF(AND(AJ$3&gt;=10,AJ$3&lt;=21),Assumptions!$B$154,IF(AJ$3&gt;=22,Assumptions!$B$155,0)),Actuals!AK33)</f>
        <v>-10956.816</v>
      </c>
      <c r="AK215" s="13" t="n">
        <f aca="false">IF(ISBLANK(Actuals!AL33),(-5300.8*Escalation!$B$34)-IF(OR(AK$3=10,AK$3=11),Assumptions!$B$153/2,0)-IF(AND(AK$3&gt;=10,AK$3&lt;=21),Assumptions!$B$154,IF(AK$3&gt;=22,Assumptions!$B$155,0)),Actuals!AL33)</f>
        <v>-10956.816</v>
      </c>
      <c r="AL215" s="13" t="n">
        <f aca="false">IF(ISBLANK(Actuals!AM33),(-5300.8*Escalation!$B$35)-IF(OR(AL$3=10,AL$3=11),Assumptions!$B$153/2,0)-IF(AND(AL$3&gt;=10,AL$3&lt;=21),Assumptions!$B$154,IF(AL$3&gt;=22,Assumptions!$B$155,0)),Actuals!AM33)</f>
        <v>-11064.95232</v>
      </c>
      <c r="AM215" s="13" t="n">
        <f aca="false">IF(ISBLANK(Actuals!AN33),(-5300.8*Escalation!$B$36)-IF(OR(AM$3=10,AM$3=11),Assumptions!$B$153/2,0)-IF(AND(AM$3&gt;=10,AM$3&lt;=21),Assumptions!$B$154,IF(AM$3&gt;=22,Assumptions!$B$155,0)),Actuals!AN33)</f>
        <v>-11064.95232</v>
      </c>
      <c r="AN215" s="13" t="n">
        <f aca="false">IF(ISBLANK(Actuals!AO33),(-5300.8*Escalation!$B$37)-IF(OR(AN$3=10,AN$3=11),Assumptions!$B$153/2,0)-IF(AND(AN$3&gt;=10,AN$3&lt;=21),Assumptions!$B$154,IF(AN$3&gt;=22,Assumptions!$B$155,0)),Actuals!AO33)</f>
        <v>-11064.95232</v>
      </c>
      <c r="AO215" s="13" t="n">
        <f aca="false">IF(ISBLANK(Actuals!AP33),(-5300.8*Escalation!$B$38)-IF(OR(AO$3=10,AO$3=11),Assumptions!$B$153/2,0)-IF(AND(AO$3&gt;=10,AO$3&lt;=21),Assumptions!$B$154,IF(AO$3&gt;=22,Assumptions!$B$155,0)),Actuals!AP33)</f>
        <v>-11064.95232</v>
      </c>
      <c r="AP215" s="13" t="n">
        <f aca="false">IF(ISBLANK(Actuals!AQ33),(-5300.8*Escalation!$B$39)-IF(OR(AP$3=10,AP$3=11),Assumptions!$B$153/2,0)-IF(AND(AP$3&gt;=10,AP$3&lt;=21),Assumptions!$B$154,IF(AP$3&gt;=22,Assumptions!$B$155,0)),Actuals!AQ33)</f>
        <v>-11064.95232</v>
      </c>
      <c r="AQ215" s="13" t="n">
        <f aca="false">IF(ISBLANK(Actuals!AR33),(-5300.8*Escalation!$B$40)-IF(OR(AQ$3=10,AQ$3=11),Assumptions!$B$153/2,0)-IF(AND(AQ$3&gt;=10,AQ$3&lt;=21),Assumptions!$B$154,IF(AQ$3&gt;=22,Assumptions!$B$155,0)),Actuals!AR33)</f>
        <v>-11064.95232</v>
      </c>
      <c r="AR215" s="13" t="n">
        <f aca="false">IF(ISBLANK(Actuals!AS33),(-5300.8*Escalation!$B$41)-IF(OR(AR$3=10,AR$3=11),Assumptions!$B$153/2,0)-IF(AND(AR$3&gt;=10,AR$3&lt;=21),Assumptions!$B$154,IF(AR$3&gt;=22,Assumptions!$B$155,0)),Actuals!AS33)</f>
        <v>-11064.95232</v>
      </c>
      <c r="AS215" s="13" t="n">
        <f aca="false">IF(ISBLANK(Actuals!AT33),(-5300.8*Escalation!$B$42)-IF(OR(AS$3=10,AS$3=11),Assumptions!$B$153/2,0)-IF(AND(AS$3&gt;=10,AS$3&lt;=21),Assumptions!$B$154,IF(AS$3&gt;=22,Assumptions!$B$155,0)),Actuals!AT33)</f>
        <v>-11064.95232</v>
      </c>
      <c r="AT215" s="13" t="n">
        <f aca="false">IF(ISBLANK(Actuals!AU33),(-5300.8*Escalation!$B$43)-IF(OR(AT$3=10,AT$3=11),Assumptions!$B$153/2,0)-IF(AND(AT$3&gt;=10,AT$3&lt;=21),Assumptions!$B$154,IF(AT$3&gt;=22,Assumptions!$B$155,0)),Actuals!AU33)</f>
        <v>-11064.95232</v>
      </c>
      <c r="AU215" s="13" t="n">
        <f aca="false">IF(ISBLANK(Actuals!AV33),(-5300.8*Escalation!$B$44)-IF(OR(AU$3=10,AU$3=11),Assumptions!$B$153/2,0)-IF(AND(AU$3&gt;=10,AU$3&lt;=21),Assumptions!$B$154,IF(AU$3&gt;=22,Assumptions!$B$155,0)),Actuals!AV33)</f>
        <v>-11064.95232</v>
      </c>
      <c r="AV215" s="13" t="n">
        <f aca="false">IF(ISBLANK(Actuals!AW33),(-5300.8*Escalation!$B$45)-IF(OR(AV$3=10,AV$3=11),Assumptions!$B$153/2,0)-IF(AND(AV$3&gt;=10,AV$3&lt;=21),Assumptions!$B$154,IF(AV$3&gt;=22,Assumptions!$B$155,0)),Actuals!AW33)</f>
        <v>-11064.95232</v>
      </c>
      <c r="AW215" s="13" t="n">
        <f aca="false">IF(ISBLANK(Actuals!AX33),(-5300.8*Escalation!$B$46)-IF(OR(AW$3=10,AW$3=11),Assumptions!$B$153/2,0)-IF(AND(AW$3&gt;=10,AW$3&lt;=21),Assumptions!$B$154,IF(AW$3&gt;=22,Assumptions!$B$155,0)),Actuals!AX33)</f>
        <v>-11064.95232</v>
      </c>
      <c r="AX215" s="13" t="n">
        <f aca="false">IF(ISBLANK(Actuals!AY33),(-5300.8*Escalation!$B$47)-IF(OR(AX$3=10,AX$3=11),Assumptions!$B$153/2,0)-IF(AND(AX$3&gt;=10,AX$3&lt;=21),Assumptions!$B$154,IF(AX$3&gt;=22,Assumptions!$B$155,0)),Actuals!AY33)</f>
        <v>-11175.2513664</v>
      </c>
      <c r="AY215" s="13" t="n">
        <f aca="false">IF(ISBLANK(Actuals!AZ33),(-5300.8*Escalation!$B$48)-IF(OR(AY$3=10,AY$3=11),Assumptions!$B$153/2,0)-IF(AND(AY$3&gt;=10,AY$3&lt;=21),Assumptions!$B$154,IF(AY$3&gt;=22,Assumptions!$B$155,0)),Actuals!AZ33)</f>
        <v>-11175.2513664</v>
      </c>
      <c r="AZ215" s="13" t="n">
        <f aca="false">IF(ISBLANK(Actuals!BA33),(-5300.8*Escalation!$B$49)-IF(OR(AZ$3=10,AZ$3=11),Assumptions!$B$153/2,0)-IF(AND(AZ$3&gt;=10,AZ$3&lt;=21),Assumptions!$B$154,IF(AZ$3&gt;=22,Assumptions!$B$155,0)),Actuals!BA33)</f>
        <v>-11175.2513664</v>
      </c>
      <c r="BA215" s="13" t="n">
        <f aca="false">IF(ISBLANK(Actuals!BB33),(-5300.8*Escalation!$B$50)-IF(OR(BA$3=10,BA$3=11),Assumptions!$B$153/2,0)-IF(AND(BA$3&gt;=10,BA$3&lt;=21),Assumptions!$B$154,IF(BA$3&gt;=22,Assumptions!$B$155,0)),Actuals!BB33)</f>
        <v>-11175.2513664</v>
      </c>
      <c r="BB215" s="13" t="n">
        <f aca="false">IF(ISBLANK(Actuals!BC33),(-5300.8*Escalation!$B$51)-IF(OR(BB$3=10,BB$3=11),Assumptions!$B$153/2,0)-IF(AND(BB$3&gt;=10,BB$3&lt;=21),Assumptions!$B$154,IF(BB$3&gt;=22,Assumptions!$B$155,0)),Actuals!BC33)</f>
        <v>-11175.2513664</v>
      </c>
      <c r="BC215" s="13" t="n">
        <f aca="false">IF(ISBLANK(Actuals!BD33),(-5300.8*Escalation!$B$52)-IF(OR(BC$3=10,BC$3=11),Assumptions!$B$153/2,0)-IF(AND(BC$3&gt;=10,BC$3&lt;=21),Assumptions!$B$154,IF(BC$3&gt;=22,Assumptions!$B$155,0)),Actuals!BD33)</f>
        <v>-11175.2513664</v>
      </c>
      <c r="BD215" s="13" t="n">
        <f aca="false">IF(ISBLANK(Actuals!BE33),(-5300.8*Escalation!$B$53)-IF(OR(BD$3=10,BD$3=11),Assumptions!$B$153/2,0)-IF(AND(BD$3&gt;=10,BD$3&lt;=21),Assumptions!$B$154,IF(BD$3&gt;=22,Assumptions!$B$155,0)),Actuals!BE33)</f>
        <v>-11175.2513664</v>
      </c>
      <c r="BE215" s="13" t="n">
        <f aca="false">IF(ISBLANK(Actuals!BF33),(-5300.8*Escalation!$B$54)-IF(OR(BE$3=10,BE$3=11),Assumptions!$B$153/2,0)-IF(AND(BE$3&gt;=10,BE$3&lt;=21),Assumptions!$B$154,IF(BE$3&gt;=22,Assumptions!$B$155,0)),Actuals!BF33)</f>
        <v>-11175.2513664</v>
      </c>
      <c r="BF215" s="13" t="n">
        <f aca="false">IF(ISBLANK(Actuals!BG33),(-5300.8*Escalation!$B$55)-IF(OR(BF$3=10,BF$3=11),Assumptions!$B$153/2,0)-IF(AND(BF$3&gt;=10,BF$3&lt;=21),Assumptions!$B$154,IF(BF$3&gt;=22,Assumptions!$B$155,0)),Actuals!BG33)</f>
        <v>-11175.2513664</v>
      </c>
      <c r="BG215" s="13" t="n">
        <f aca="false">IF(ISBLANK(Actuals!BH33),(-5300.8*Escalation!$B$56)-IF(OR(BG$3=10,BG$3=11),Assumptions!$B$153/2,0)-IF(AND(BG$3&gt;=10,BG$3&lt;=21),Assumptions!$B$154,IF(BG$3&gt;=22,Assumptions!$B$155,0)),Actuals!BH33)</f>
        <v>-11175.2513664</v>
      </c>
      <c r="BH215" s="13" t="n">
        <f aca="false">IF(ISBLANK(Actuals!BI33),(-5300.8*Escalation!$B$57)-IF(OR(BH$3=10,BH$3=11),Assumptions!$B$153/2,0)-IF(AND(BH$3&gt;=10,BH$3&lt;=21),Assumptions!$B$154,IF(BH$3&gt;=22,Assumptions!$B$155,0)),Actuals!BI33)</f>
        <v>-11175.2513664</v>
      </c>
      <c r="BI215" s="13" t="n">
        <f aca="false">IF(ISBLANK(Actuals!BJ33),(-5300.8*Escalation!$B$58)-IF(OR(BI$3=10,BI$3=11),Assumptions!$B$153/2,0)-IF(AND(BI$3&gt;=10,BI$3&lt;=21),Assumptions!$B$154,IF(BI$3&gt;=22,Assumptions!$B$155,0)),Actuals!BJ33)</f>
        <v>-11175.2513664</v>
      </c>
      <c r="BJ215" s="13" t="n">
        <f aca="false">IF(ISBLANK(Actuals!BK33),(-5300.8*Escalation!$B$59)-IF(OR(BJ$3=10,BJ$3=11),Assumptions!$B$153/2,0)-IF(AND(BJ$3&gt;=10,BJ$3&lt;=21),Assumptions!$B$154,IF(BJ$3&gt;=22,Assumptions!$B$155,0)),Actuals!BK33)</f>
        <v>-11287.756393728</v>
      </c>
      <c r="BK215" s="13" t="n">
        <f aca="false">IF(ISBLANK(Actuals!BL33),(-5300.8*Escalation!$B$60)-IF(OR(BK$3=10,BK$3=11),Assumptions!$B$153/2,0)-IF(AND(BK$3&gt;=10,BK$3&lt;=21),Assumptions!$B$154,IF(BK$3&gt;=22,Assumptions!$B$155,0)),Actuals!BL33)</f>
        <v>-11287.756393728</v>
      </c>
      <c r="BL215" s="13" t="n">
        <f aca="false">IF(ISBLANK(Actuals!BM33),(-5300.8*Escalation!$B$61)-IF(OR(BL$3=10,BL$3=11),Assumptions!$B$153/2,0)-IF(AND(BL$3&gt;=10,BL$3&lt;=21),Assumptions!$B$154,IF(BL$3&gt;=22,Assumptions!$B$155,0)),Actuals!BM33)</f>
        <v>-11287.756393728</v>
      </c>
      <c r="BM215" s="13" t="n">
        <f aca="false">IF(ISBLANK(Actuals!BN33),(-5300.8*Escalation!$B$62)-IF(OR(BM$3=10,BM$3=11),Assumptions!$B$153/2,0)-IF(AND(BM$3&gt;=10,BM$3&lt;=21),Assumptions!$B$154,IF(BM$3&gt;=22,Assumptions!$B$155,0)),Actuals!BN33)</f>
        <v>-11287.756393728</v>
      </c>
      <c r="BN215" s="13" t="n">
        <f aca="false">IF(ISBLANK(Actuals!BO33),(-5300.8*Escalation!$B$63)-IF(OR(BN$3=10,BN$3=11),Assumptions!$B$153/2,0)-IF(AND(BN$3&gt;=10,BN$3&lt;=21),Assumptions!$B$154,IF(BN$3&gt;=22,Assumptions!$B$155,0)),Actuals!BO33)</f>
        <v>-11287.756393728</v>
      </c>
      <c r="BO215" s="13" t="n">
        <f aca="false">IF(ISBLANK(Actuals!BP33),(-5300.8*Escalation!$B$64)-IF(OR(BO$3=10,BO$3=11),Assumptions!$B$153/2,0)-IF(AND(BO$3&gt;=10,BO$3&lt;=21),Assumptions!$B$154,IF(BO$3&gt;=22,Assumptions!$B$155,0)),Actuals!BP33)</f>
        <v>-11287.756393728</v>
      </c>
      <c r="BP215" s="13" t="n">
        <f aca="false">IF(ISBLANK(Actuals!BQ33),(-5300.8*Escalation!$B$65)-IF(OR(BP$3=10,BP$3=11),Assumptions!$B$153/2,0)-IF(AND(BP$3&gt;=10,BP$3&lt;=21),Assumptions!$B$154,IF(BP$3&gt;=22,Assumptions!$B$155,0)),Actuals!BQ33)</f>
        <v>-11287.756393728</v>
      </c>
      <c r="BQ215" s="13" t="n">
        <f aca="false">IF(ISBLANK(Actuals!BR33),(-5300.8*Escalation!$B$66)-IF(OR(BQ$3=10,BQ$3=11),Assumptions!$B$153/2,0)-IF(AND(BQ$3&gt;=10,BQ$3&lt;=21),Assumptions!$B$154,IF(BQ$3&gt;=22,Assumptions!$B$155,0)),Actuals!BR33)</f>
        <v>-11287.756393728</v>
      </c>
      <c r="BR215" s="13" t="n">
        <f aca="false">IF(ISBLANK(Actuals!BS33),(-5300.8*Escalation!$B$67)-IF(OR(BR$3=10,BR$3=11),Assumptions!$B$153/2,0)-IF(AND(BR$3&gt;=10,BR$3&lt;=21),Assumptions!$B$154,IF(BR$3&gt;=22,Assumptions!$B$155,0)),Actuals!BS33)</f>
        <v>-11287.756393728</v>
      </c>
      <c r="BS215" s="13" t="n">
        <f aca="false">IF(ISBLANK(Actuals!BT33),(-5300.8*Escalation!$B$68)-IF(OR(BS$3=10,BS$3=11),Assumptions!$B$153/2,0)-IF(AND(BS$3&gt;=10,BS$3&lt;=21),Assumptions!$B$154,IF(BS$3&gt;=22,Assumptions!$B$155,0)),Actuals!BT33)</f>
        <v>-11287.756393728</v>
      </c>
      <c r="BT215" s="13" t="n">
        <f aca="false">IF(ISBLANK(Actuals!BU33),(-5300.8*Escalation!$B$69)-IF(OR(BT$3=10,BT$3=11),Assumptions!$B$153/2,0)-IF(AND(BT$3&gt;=10,BT$3&lt;=21),Assumptions!$B$154,IF(BT$3&gt;=22,Assumptions!$B$155,0)),Actuals!BU33)</f>
        <v>-11287.756393728</v>
      </c>
      <c r="BU215" s="13" t="n">
        <f aca="false">IF(ISBLANK(Actuals!BV33),(-5300.8*Escalation!$B$70)-IF(OR(BU$3=10,BU$3=11),Assumptions!$B$153/2,0)-IF(AND(BU$3&gt;=10,BU$3&lt;=21),Assumptions!$B$154,IF(BU$3&gt;=22,Assumptions!$B$155,0)),Actuals!BV33)</f>
        <v>-11287.756393728</v>
      </c>
      <c r="BV215" s="13" t="n">
        <f aca="false">IF(ISBLANK(Actuals!BW33),(-5300.8*Escalation!$B$71)-IF(OR(BV$3=10,BV$3=11),Assumptions!$B$153/2,0)-IF(AND(BV$3&gt;=10,BV$3&lt;=21),Assumptions!$B$154,IF(BV$3&gt;=22,Assumptions!$B$155,0)),Actuals!BW33)</f>
        <v>-11402.5115216026</v>
      </c>
      <c r="BW215" s="13" t="n">
        <f aca="false">IF(ISBLANK(Actuals!BX33),(-5300.8*Escalation!$B$72)-IF(OR(BW$3=10,BW$3=11),Assumptions!$B$153/2,0)-IF(AND(BW$3&gt;=10,BW$3&lt;=21),Assumptions!$B$154,IF(BW$3&gt;=22,Assumptions!$B$155,0)),Actuals!BX33)</f>
        <v>-11402.5115216026</v>
      </c>
      <c r="BX215" s="13" t="n">
        <f aca="false">IF(ISBLANK(Actuals!BY33),(-5300.8*Escalation!$B$73)-IF(OR(BX$3=10,BX$3=11),Assumptions!$B$153/2,0)-IF(AND(BX$3&gt;=10,BX$3&lt;=21),Assumptions!$B$154,IF(BX$3&gt;=22,Assumptions!$B$155,0)),Actuals!BY33)</f>
        <v>-11402.5115216026</v>
      </c>
      <c r="BY215" s="13" t="n">
        <f aca="false">IF(ISBLANK(Actuals!BZ33),(-5300.8*Escalation!$B$74)-IF(OR(BY$3=10,BY$3=11),Assumptions!$B$153/2,0)-IF(AND(BY$3&gt;=10,BY$3&lt;=21),Assumptions!$B$154,IF(BY$3&gt;=22,Assumptions!$B$155,0)),Actuals!BZ33)</f>
        <v>-11402.5115216026</v>
      </c>
      <c r="BZ215" s="13" t="n">
        <f aca="false">IF(ISBLANK(Actuals!CA33),(-5300.8*Escalation!$B$75)-IF(OR(BZ$3=10,BZ$3=11),Assumptions!$B$153/2,0)-IF(AND(BZ$3&gt;=10,BZ$3&lt;=21),Assumptions!$B$154,IF(BZ$3&gt;=22,Assumptions!$B$155,0)),Actuals!CA33)</f>
        <v>-11402.5115216026</v>
      </c>
      <c r="CA215" s="13" t="n">
        <f aca="false">IF(ISBLANK(Actuals!CB33),(-5300.8*Escalation!$B$76)-IF(OR(CA$3=10,CA$3=11),Assumptions!$B$153/2,0)-IF(AND(CA$3&gt;=10,CA$3&lt;=21),Assumptions!$B$154,IF(CA$3&gt;=22,Assumptions!$B$155,0)),Actuals!CB33)</f>
        <v>-11402.5115216026</v>
      </c>
      <c r="CB215" s="13" t="n">
        <f aca="false">IF(ISBLANK(Actuals!CC33),(-5300.8*Escalation!$B$77)-IF(OR(CB$3=10,CB$3=11),Assumptions!$B$153/2,0)-IF(AND(CB$3&gt;=10,CB$3&lt;=21),Assumptions!$B$154,IF(CB$3&gt;=22,Assumptions!$B$155,0)),Actuals!CC33)</f>
        <v>-11402.5115216026</v>
      </c>
      <c r="CC215" s="13" t="n">
        <f aca="false">IF(ISBLANK(Actuals!CD33),(-5300.8*Escalation!$B$78)-IF(OR(CC$3=10,CC$3=11),Assumptions!$B$153/2,0)-IF(AND(CC$3&gt;=10,CC$3&lt;=21),Assumptions!$B$154,IF(CC$3&gt;=22,Assumptions!$B$155,0)),Actuals!CD33)</f>
        <v>-11402.5115216026</v>
      </c>
      <c r="CD215" s="13" t="n">
        <f aca="false">IF(ISBLANK(Actuals!CE33),(-5300.8*Escalation!$B$79)-IF(OR(CD$3=10,CD$3=11),Assumptions!$B$153/2,0)-IF(AND(CD$3&gt;=10,CD$3&lt;=21),Assumptions!$B$154,IF(CD$3&gt;=22,Assumptions!$B$155,0)),Actuals!CE33)</f>
        <v>-11402.5115216026</v>
      </c>
      <c r="CE215" s="13" t="n">
        <f aca="false">IF(ISBLANK(Actuals!CF33),(-5300.8*Escalation!$B$80)-IF(OR(CE$3=10,CE$3=11),Assumptions!$B$153/2,0)-IF(AND(CE$3&gt;=10,CE$3&lt;=21),Assumptions!$B$154,IF(CE$3&gt;=22,Assumptions!$B$155,0)),Actuals!CF33)</f>
        <v>-11402.5115216026</v>
      </c>
      <c r="CF215" s="13" t="n">
        <f aca="false">IF(ISBLANK(Actuals!CG33),(-5300.8*Escalation!$B$81)-IF(OR(CF$3=10,CF$3=11),Assumptions!$B$153/2,0)-IF(AND(CF$3&gt;=10,CF$3&lt;=21),Assumptions!$B$154,IF(CF$3&gt;=22,Assumptions!$B$155,0)),Actuals!CG33)</f>
        <v>-11402.5115216026</v>
      </c>
      <c r="CG215" s="13" t="n">
        <f aca="false">IF(ISBLANK(Actuals!CH33),(-5300.8*Escalation!$B$82)-IF(OR(CG$3=10,CG$3=11),Assumptions!$B$153/2,0)-IF(AND(CG$3&gt;=10,CG$3&lt;=21),Assumptions!$B$154,IF(CG$3&gt;=22,Assumptions!$B$155,0)),Actuals!CH33)</f>
        <v>-11402.5115216026</v>
      </c>
      <c r="CH215" s="13" t="n">
        <f aca="false">IF(ISBLANK(Actuals!CI33),(-5300.8*Escalation!$B$83)-IF(OR(CH$3=10,CH$3=11),Assumptions!$B$153/2,0)-IF(AND(CH$3&gt;=10,CH$3&lt;=21),Assumptions!$B$154,IF(CH$3&gt;=22,Assumptions!$B$155,0)),Actuals!CI33)</f>
        <v>-11519.5617520346</v>
      </c>
      <c r="CI215" s="13" t="n">
        <f aca="false">IF(ISBLANK(Actuals!CJ33),(-5300.8*Escalation!$B$84)-IF(OR(CI$3=10,CI$3=11),Assumptions!$B$153/2,0)-IF(AND(CI$3&gt;=10,CI$3&lt;=21),Assumptions!$B$154,IF(CI$3&gt;=22,Assumptions!$B$155,0)),Actuals!CJ33)</f>
        <v>-11519.5617520346</v>
      </c>
      <c r="CJ215" s="13" t="n">
        <f aca="false">IF(ISBLANK(Actuals!CK33),(-5300.8*Escalation!$B$85)-IF(OR(CJ$3=10,CJ$3=11),Assumptions!$B$153/2,0)-IF(AND(CJ$3&gt;=10,CJ$3&lt;=21),Assumptions!$B$154,IF(CJ$3&gt;=22,Assumptions!$B$155,0)),Actuals!CK33)</f>
        <v>-11519.5617520346</v>
      </c>
      <c r="CK215" s="13" t="n">
        <f aca="false">IF(ISBLANK(Actuals!CL33),(-5300.8*Escalation!$B$86)-IF(OR(CK$3=10,CK$3=11),Assumptions!$B$153/2,0)-IF(AND(CK$3&gt;=10,CK$3&lt;=21),Assumptions!$B$154,IF(CK$3&gt;=22,Assumptions!$B$155,0)),Actuals!CL33)</f>
        <v>-11519.5617520346</v>
      </c>
      <c r="CL215" s="13" t="n">
        <f aca="false">IF(ISBLANK(Actuals!CM33),(-5300.8*Escalation!$B$87)-IF(OR(CL$3=10,CL$3=11),Assumptions!$B$153/2,0)-IF(AND(CL$3&gt;=10,CL$3&lt;=21),Assumptions!$B$154,IF(CL$3&gt;=22,Assumptions!$B$155,0)),Actuals!CM33)</f>
        <v>-11519.5617520346</v>
      </c>
      <c r="CM215" s="13" t="n">
        <f aca="false">IF(ISBLANK(Actuals!CN33),(-5300.8*Escalation!$B$88)-IF(OR(CM$3=10,CM$3=11),Assumptions!$B$153/2,0)-IF(AND(CM$3&gt;=10,CM$3&lt;=21),Assumptions!$B$154,IF(CM$3&gt;=22,Assumptions!$B$155,0)),Actuals!CN33)</f>
        <v>-11519.5617520346</v>
      </c>
      <c r="CN215" s="13" t="n">
        <f aca="false">IF(ISBLANK(Actuals!CO33),(-5300.8*Escalation!$B$89)-IF(OR(CN$3=10,CN$3=11),Assumptions!$B$153/2,0)-IF(AND(CN$3&gt;=10,CN$3&lt;=21),Assumptions!$B$154,IF(CN$3&gt;=22,Assumptions!$B$155,0)),Actuals!CO33)</f>
        <v>-11519.5617520346</v>
      </c>
      <c r="CO215" s="13" t="n">
        <f aca="false">IF(ISBLANK(Actuals!CP33),(-5300.8*Escalation!$B$90)-IF(OR(CO$3=10,CO$3=11),Assumptions!$B$153/2,0)-IF(AND(CO$3&gt;=10,CO$3&lt;=21),Assumptions!$B$154,IF(CO$3&gt;=22,Assumptions!$B$155,0)),Actuals!CP33)</f>
        <v>-11519.5617520346</v>
      </c>
      <c r="CP215" s="13" t="n">
        <f aca="false">IF(ISBLANK(Actuals!CQ33),(-5300.8*Escalation!$B$91)-IF(OR(CP$3=10,CP$3=11),Assumptions!$B$153/2,0)-IF(AND(CP$3&gt;=10,CP$3&lt;=21),Assumptions!$B$154,IF(CP$3&gt;=22,Assumptions!$B$155,0)),Actuals!CQ33)</f>
        <v>-11519.5617520346</v>
      </c>
      <c r="CQ215" s="13" t="n">
        <f aca="false">IF(ISBLANK(Actuals!CR33),(-5300.8*Escalation!$B$92)-IF(OR(CQ$3=10,CQ$3=11),Assumptions!$B$153/2,0)-IF(AND(CQ$3&gt;=10,CQ$3&lt;=21),Assumptions!$B$154,IF(CQ$3&gt;=22,Assumptions!$B$155,0)),Actuals!CR33)</f>
        <v>-11519.5617520346</v>
      </c>
      <c r="CR215" s="13" t="n">
        <f aca="false">IF(ISBLANK(Actuals!CS33),(-5300.8*Escalation!$B$93)-IF(OR(CR$3=10,CR$3=11),Assumptions!$B$153/2,0)-IF(AND(CR$3&gt;=10,CR$3&lt;=21),Assumptions!$B$154,IF(CR$3&gt;=22,Assumptions!$B$155,0)),Actuals!CS33)</f>
        <v>-11519.5617520346</v>
      </c>
      <c r="CS215" s="13" t="n">
        <f aca="false">IF(ISBLANK(Actuals!CT33),(-5300.8*Escalation!$B$94)-IF(OR(CS$3=10,CS$3=11),Assumptions!$B$153/2,0)-IF(AND(CS$3&gt;=10,CS$3&lt;=21),Assumptions!$B$154,IF(CS$3&gt;=22,Assumptions!$B$155,0)),Actuals!CT33)</f>
        <v>-11519.5617520346</v>
      </c>
      <c r="CT215" s="13" t="n">
        <f aca="false">IF(ISBLANK(Actuals!CU33),(-5300.8*Escalation!$B$95)-IF(OR(CT$3=10,CT$3=11),Assumptions!$B$153/2,0)-IF(AND(CT$3&gt;=10,CT$3&lt;=21),Assumptions!$B$154,IF(CT$3&gt;=22,Assumptions!$B$155,0)),Actuals!CU33)</f>
        <v>-11638.9529870753</v>
      </c>
      <c r="CU215" s="13" t="n">
        <f aca="false">IF(ISBLANK(Actuals!CV33),(-5300.8*Escalation!$B$96)-IF(OR(CU$3=10,CU$3=11),Assumptions!$B$153/2,0)-IF(AND(CU$3&gt;=10,CU$3&lt;=21),Assumptions!$B$154,IF(CU$3&gt;=22,Assumptions!$B$155,0)),Actuals!CV33)</f>
        <v>-11638.9529870753</v>
      </c>
      <c r="CV215" s="13" t="n">
        <f aca="false">IF(ISBLANK(Actuals!CW33),(-5300.8*Escalation!$B$97)-IF(OR(CV$3=10,CV$3=11),Assumptions!$B$153/2,0)-IF(AND(CV$3&gt;=10,CV$3&lt;=21),Assumptions!$B$154,IF(CV$3&gt;=22,Assumptions!$B$155,0)),Actuals!CW33)</f>
        <v>-11638.9529870753</v>
      </c>
      <c r="CW215" s="13" t="n">
        <f aca="false">IF(ISBLANK(Actuals!CX33),(-5300.8*Escalation!$B$98)-IF(OR(CW$3=10,CW$3=11),Assumptions!$B$153/2,0)-IF(AND(CW$3&gt;=10,CW$3&lt;=21),Assumptions!$B$154,IF(CW$3&gt;=22,Assumptions!$B$155,0)),Actuals!CX33)</f>
        <v>-11638.9529870753</v>
      </c>
      <c r="CX215" s="13" t="n">
        <f aca="false">IF(ISBLANK(Actuals!CY33),(-5300.8*Escalation!$B$99)-IF(OR(CX$3=10,CX$3=11),Assumptions!$B$153/2,0)-IF(AND(CX$3&gt;=10,CX$3&lt;=21),Assumptions!$B$154,IF(CX$3&gt;=22,Assumptions!$B$155,0)),Actuals!CY33)</f>
        <v>-11638.9529870753</v>
      </c>
      <c r="CY215" s="13" t="n">
        <f aca="false">IF(ISBLANK(Actuals!CZ33),(-5300.8*Escalation!$B$100)-IF(OR(CY$3=10,CY$3=11),Assumptions!$B$153/2,0)-IF(AND(CY$3&gt;=10,CY$3&lt;=21),Assumptions!$B$154,IF(CY$3&gt;=22,Assumptions!$B$155,0)),Actuals!CZ33)</f>
        <v>-11638.9529870753</v>
      </c>
      <c r="CZ215" s="13" t="n">
        <f aca="false">IF(ISBLANK(Actuals!DA33),(-5300.8*Escalation!$B$101)-IF(OR(CZ$3=10,CZ$3=11),Assumptions!$B$153/2,0)-IF(AND(CZ$3&gt;=10,CZ$3&lt;=21),Assumptions!$B$154,IF(CZ$3&gt;=22,Assumptions!$B$155,0)),Actuals!DA33)</f>
        <v>-11638.9529870753</v>
      </c>
      <c r="DA215" s="13" t="n">
        <f aca="false">IF(ISBLANK(Actuals!DB33),(-5300.8*Escalation!$B$102)-IF(OR(DA$3=10,DA$3=11),Assumptions!$B$153/2,0)-IF(AND(DA$3&gt;=10,DA$3&lt;=21),Assumptions!$B$154,IF(DA$3&gt;=22,Assumptions!$B$155,0)),Actuals!DB33)</f>
        <v>-11638.9529870753</v>
      </c>
      <c r="DB215" s="13" t="n">
        <f aca="false">IF(ISBLANK(Actuals!DC33),(-5300.8*Escalation!$B$103)-IF(OR(DB$3=10,DB$3=11),Assumptions!$B$153/2,0)-IF(AND(DB$3&gt;=10,DB$3&lt;=21),Assumptions!$B$154,IF(DB$3&gt;=22,Assumptions!$B$155,0)),Actuals!DC33)</f>
        <v>-11638.9529870753</v>
      </c>
      <c r="DC215" s="13" t="n">
        <f aca="false">IF(ISBLANK(Actuals!DD33),(-5300.8*Escalation!$B$104)-IF(OR(DC$3=10,DC$3=11),Assumptions!$B$153/2,0)-IF(AND(DC$3&gt;=10,DC$3&lt;=21),Assumptions!$B$154,IF(DC$3&gt;=22,Assumptions!$B$155,0)),Actuals!DD33)</f>
        <v>-11638.9529870753</v>
      </c>
      <c r="DD215" s="13" t="n">
        <f aca="false">IF(ISBLANK(Actuals!DE33),(-5300.8*Escalation!$B$105)-IF(OR(DD$3=10,DD$3=11),Assumptions!$B$153/2,0)-IF(AND(DD$3&gt;=10,DD$3&lt;=21),Assumptions!$B$154,IF(DD$3&gt;=22,Assumptions!$B$155,0)),Actuals!DE33)</f>
        <v>-11638.9529870753</v>
      </c>
      <c r="DE215" s="13" t="n">
        <f aca="false">IF(ISBLANK(Actuals!DF33),(-5300.8*Escalation!$B$106)-IF(OR(DE$3=10,DE$3=11),Assumptions!$B$153/2,0)-IF(AND(DE$3&gt;=10,DE$3&lt;=21),Assumptions!$B$154,IF(DE$3&gt;=22,Assumptions!$B$155,0)),Actuals!DF33)</f>
        <v>-11638.9529870753</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-736.03</v>
      </c>
      <c r="R216" s="13" t="n">
        <f aca="false">IF(ISBLANK(Actuals!S34),-736.03*Escalation!$B$15,Actuals!S34)</f>
        <v>-736.03</v>
      </c>
      <c r="S216" s="13" t="n">
        <f aca="false">IF(ISBLANK(Actuals!T34),-736.03*Escalation!$B$16,Actuals!T34)</f>
        <v>-736.03</v>
      </c>
      <c r="T216" s="13" t="n">
        <f aca="false">IF(ISBLANK(Actuals!U34),-736.03*Escalation!$B$17,Actuals!U34)</f>
        <v>-736.03</v>
      </c>
      <c r="U216" s="13" t="n">
        <f aca="false">IF(ISBLANK(Actuals!V34),-736.03*Escalation!$B$18,Actuals!V34)</f>
        <v>-736.03</v>
      </c>
      <c r="V216" s="13" t="n">
        <f aca="false">IF(ISBLANK(Actuals!W34),-736.03*Escalation!$B$19,Actuals!W34)</f>
        <v>-736.03</v>
      </c>
      <c r="W216" s="13" t="n">
        <f aca="false">IF(ISBLANK(Actuals!X34),-736.03*Escalation!$B$20,Actuals!X34)</f>
        <v>-736.03</v>
      </c>
      <c r="X216" s="13" t="n">
        <f aca="false">IF(ISBLANK(Actuals!Y34),-736.03*Escalation!$B$21,Actuals!Y34)</f>
        <v>-736.03</v>
      </c>
      <c r="Y216" s="13" t="n">
        <f aca="false">IF(ISBLANK(Actuals!Z34),-736.03*Escalation!$B$22,Actuals!Z34)</f>
        <v>-736.03</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-750.7506</v>
      </c>
      <c r="AD216" s="13" t="n">
        <f aca="false">IF(ISBLANK(Actuals!AE34),-736.03*Escalation!$B$27,Actuals!AE34)</f>
        <v>-750.7506</v>
      </c>
      <c r="AE216" s="13" t="n">
        <f aca="false">IF(ISBLANK(Actuals!AF34),-736.03*Escalation!$B$28,Actuals!AF34)</f>
        <v>-750.7506</v>
      </c>
      <c r="AF216" s="13" t="n">
        <f aca="false">IF(ISBLANK(Actuals!AG34),-736.03*Escalation!$B$29,Actuals!AG34)</f>
        <v>-750.7506</v>
      </c>
      <c r="AG216" s="13" t="n">
        <f aca="false">IF(ISBLANK(Actuals!AH34),-736.03*Escalation!$B$30,Actuals!AH34)</f>
        <v>-750.7506</v>
      </c>
      <c r="AH216" s="13" t="n">
        <f aca="false">IF(ISBLANK(Actuals!AI34),-736.03*Escalation!$B$31,Actuals!AI34)</f>
        <v>-750.7506</v>
      </c>
      <c r="AI216" s="13" t="n">
        <f aca="false">IF(ISBLANK(Actuals!AJ34),-736.03*Escalation!$B$32,Actuals!AJ34)</f>
        <v>-750.7506</v>
      </c>
      <c r="AJ216" s="13" t="n">
        <f aca="false">IF(ISBLANK(Actuals!AK34),-736.03*Escalation!$B$33,Actuals!AK34)</f>
        <v>-750.7506</v>
      </c>
      <c r="AK216" s="13" t="n">
        <f aca="false">IF(ISBLANK(Actuals!AL34),-736.03*Escalation!$B$34,Actuals!AL34)</f>
        <v>-750.7506</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-765.765612</v>
      </c>
      <c r="AP216" s="13" t="n">
        <f aca="false">IF(ISBLANK(Actuals!AQ34),-736.03*Escalation!$B$39,Actuals!AQ34)</f>
        <v>-765.765612</v>
      </c>
      <c r="AQ216" s="13" t="n">
        <f aca="false">IF(ISBLANK(Actuals!AR34),-736.03*Escalation!$B$40,Actuals!AR34)</f>
        <v>-765.765612</v>
      </c>
      <c r="AR216" s="13" t="n">
        <f aca="false">IF(ISBLANK(Actuals!AS34),-736.03*Escalation!$B$41,Actuals!AS34)</f>
        <v>-765.765612</v>
      </c>
      <c r="AS216" s="13" t="n">
        <f aca="false">IF(ISBLANK(Actuals!AT34),-736.03*Escalation!$B$42,Actuals!AT34)</f>
        <v>-765.765612</v>
      </c>
      <c r="AT216" s="13" t="n">
        <f aca="false">IF(ISBLANK(Actuals!AU34),-736.03*Escalation!$B$43,Actuals!AU34)</f>
        <v>-765.765612</v>
      </c>
      <c r="AU216" s="13" t="n">
        <f aca="false">IF(ISBLANK(Actuals!AV34),-736.03*Escalation!$B$44,Actuals!AV34)</f>
        <v>-765.765612</v>
      </c>
      <c r="AV216" s="13" t="n">
        <f aca="false">IF(ISBLANK(Actuals!AW34),-736.03*Escalation!$B$45,Actuals!AW34)</f>
        <v>-765.765612</v>
      </c>
      <c r="AW216" s="13" t="n">
        <f aca="false">IF(ISBLANK(Actuals!AX34),-736.03*Escalation!$B$46,Actuals!AX34)</f>
        <v>-765.765612</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-781.08092424</v>
      </c>
      <c r="BB216" s="13" t="n">
        <f aca="false">IF(ISBLANK(Actuals!BC34),-736.03*Escalation!$B$51,Actuals!BC34)</f>
        <v>-781.08092424</v>
      </c>
      <c r="BC216" s="13" t="n">
        <f aca="false">IF(ISBLANK(Actuals!BD34),-736.03*Escalation!$B$52,Actuals!BD34)</f>
        <v>-781.08092424</v>
      </c>
      <c r="BD216" s="13" t="n">
        <f aca="false">IF(ISBLANK(Actuals!BE34),-736.03*Escalation!$B$53,Actuals!BE34)</f>
        <v>-781.08092424</v>
      </c>
      <c r="BE216" s="13" t="n">
        <f aca="false">IF(ISBLANK(Actuals!BF34),-736.03*Escalation!$B$54,Actuals!BF34)</f>
        <v>-781.08092424</v>
      </c>
      <c r="BF216" s="13" t="n">
        <f aca="false">IF(ISBLANK(Actuals!BG34),-736.03*Escalation!$B$55,Actuals!BG34)</f>
        <v>-781.08092424</v>
      </c>
      <c r="BG216" s="13" t="n">
        <f aca="false">IF(ISBLANK(Actuals!BH34),-736.03*Escalation!$B$56,Actuals!BH34)</f>
        <v>-781.08092424</v>
      </c>
      <c r="BH216" s="13" t="n">
        <f aca="false">IF(ISBLANK(Actuals!BI34),-736.03*Escalation!$B$57,Actuals!BI34)</f>
        <v>-781.08092424</v>
      </c>
      <c r="BI216" s="13" t="n">
        <f aca="false">IF(ISBLANK(Actuals!BJ34),-736.03*Escalation!$B$58,Actuals!BJ34)</f>
        <v>-781.08092424</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-796.7025427248</v>
      </c>
      <c r="BN216" s="13" t="n">
        <f aca="false">IF(ISBLANK(Actuals!BO34),-736.03*Escalation!$B$63,Actuals!BO34)</f>
        <v>-796.7025427248</v>
      </c>
      <c r="BO216" s="13" t="n">
        <f aca="false">IF(ISBLANK(Actuals!BP34),-736.03*Escalation!$B$64,Actuals!BP34)</f>
        <v>-796.7025427248</v>
      </c>
      <c r="BP216" s="13" t="n">
        <f aca="false">IF(ISBLANK(Actuals!BQ34),-736.03*Escalation!$B$65,Actuals!BQ34)</f>
        <v>-796.7025427248</v>
      </c>
      <c r="BQ216" s="13" t="n">
        <f aca="false">IF(ISBLANK(Actuals!BR34),-736.03*Escalation!$B$66,Actuals!BR34)</f>
        <v>-796.7025427248</v>
      </c>
      <c r="BR216" s="13" t="n">
        <f aca="false">IF(ISBLANK(Actuals!BS34),-736.03*Escalation!$B$67,Actuals!BS34)</f>
        <v>-796.7025427248</v>
      </c>
      <c r="BS216" s="13" t="n">
        <f aca="false">IF(ISBLANK(Actuals!BT34),-736.03*Escalation!$B$68,Actuals!BT34)</f>
        <v>-796.7025427248</v>
      </c>
      <c r="BT216" s="13" t="n">
        <f aca="false">IF(ISBLANK(Actuals!BU34),-736.03*Escalation!$B$69,Actuals!BU34)</f>
        <v>-796.7025427248</v>
      </c>
      <c r="BU216" s="13" t="n">
        <f aca="false">IF(ISBLANK(Actuals!BV34),-736.03*Escalation!$B$70,Actuals!BV34)</f>
        <v>-796.7025427248</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-812.636593579296</v>
      </c>
      <c r="BZ216" s="13" t="n">
        <f aca="false">IF(ISBLANK(Actuals!CA34),-736.03*Escalation!$B$75,Actuals!CA34)</f>
        <v>-812.636593579296</v>
      </c>
      <c r="CA216" s="13" t="n">
        <f aca="false">IF(ISBLANK(Actuals!CB34),-736.03*Escalation!$B$76,Actuals!CB34)</f>
        <v>-812.636593579296</v>
      </c>
      <c r="CB216" s="13" t="n">
        <f aca="false">IF(ISBLANK(Actuals!CC34),-736.03*Escalation!$B$77,Actuals!CC34)</f>
        <v>-812.636593579296</v>
      </c>
      <c r="CC216" s="13" t="n">
        <f aca="false">IF(ISBLANK(Actuals!CD34),-736.03*Escalation!$B$78,Actuals!CD34)</f>
        <v>-812.636593579296</v>
      </c>
      <c r="CD216" s="13" t="n">
        <f aca="false">IF(ISBLANK(Actuals!CE34),-736.03*Escalation!$B$79,Actuals!CE34)</f>
        <v>-812.636593579296</v>
      </c>
      <c r="CE216" s="13" t="n">
        <f aca="false">IF(ISBLANK(Actuals!CF34),-736.03*Escalation!$B$80,Actuals!CF34)</f>
        <v>-812.636593579296</v>
      </c>
      <c r="CF216" s="13" t="n">
        <f aca="false">IF(ISBLANK(Actuals!CG34),-736.03*Escalation!$B$81,Actuals!CG34)</f>
        <v>-812.636593579296</v>
      </c>
      <c r="CG216" s="13" t="n">
        <f aca="false">IF(ISBLANK(Actuals!CH34),-736.03*Escalation!$B$82,Actuals!CH34)</f>
        <v>-812.636593579296</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-828.889325450882</v>
      </c>
      <c r="CL216" s="13" t="n">
        <f aca="false">IF(ISBLANK(Actuals!CM34),-736.03*Escalation!$B$87,Actuals!CM34)</f>
        <v>-828.889325450882</v>
      </c>
      <c r="CM216" s="13" t="n">
        <f aca="false">IF(ISBLANK(Actuals!CN34),-736.03*Escalation!$B$88,Actuals!CN34)</f>
        <v>-828.889325450882</v>
      </c>
      <c r="CN216" s="13" t="n">
        <f aca="false">IF(ISBLANK(Actuals!CO34),-736.03*Escalation!$B$89,Actuals!CO34)</f>
        <v>-828.889325450882</v>
      </c>
      <c r="CO216" s="13" t="n">
        <f aca="false">IF(ISBLANK(Actuals!CP34),-736.03*Escalation!$B$90,Actuals!CP34)</f>
        <v>-828.889325450882</v>
      </c>
      <c r="CP216" s="13" t="n">
        <f aca="false">IF(ISBLANK(Actuals!CQ34),-736.03*Escalation!$B$91,Actuals!CQ34)</f>
        <v>-828.889325450882</v>
      </c>
      <c r="CQ216" s="13" t="n">
        <f aca="false">IF(ISBLANK(Actuals!CR34),-736.03*Escalation!$B$92,Actuals!CR34)</f>
        <v>-828.889325450882</v>
      </c>
      <c r="CR216" s="13" t="n">
        <f aca="false">IF(ISBLANK(Actuals!CS34),-736.03*Escalation!$B$93,Actuals!CS34)</f>
        <v>-828.889325450882</v>
      </c>
      <c r="CS216" s="13" t="n">
        <f aca="false">IF(ISBLANK(Actuals!CT34),-736.03*Escalation!$B$94,Actuals!CT34)</f>
        <v>-828.889325450882</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-845.4671119599</v>
      </c>
      <c r="CX216" s="13" t="n">
        <f aca="false">IF(ISBLANK(Actuals!CY34),-736.03*Escalation!$B$99,Actuals!CY34)</f>
        <v>-845.4671119599</v>
      </c>
      <c r="CY216" s="13" t="n">
        <f aca="false">IF(ISBLANK(Actuals!CZ34),-736.03*Escalation!$B$100,Actuals!CZ34)</f>
        <v>-845.4671119599</v>
      </c>
      <c r="CZ216" s="13" t="n">
        <f aca="false">IF(ISBLANK(Actuals!DA34),-736.03*Escalation!$B$101,Actuals!DA34)</f>
        <v>-845.4671119599</v>
      </c>
      <c r="DA216" s="13" t="n">
        <f aca="false">IF(ISBLANK(Actuals!DB34),-736.03*Escalation!$B$102,Actuals!DB34)</f>
        <v>-845.4671119599</v>
      </c>
      <c r="DB216" s="13" t="n">
        <f aca="false">IF(ISBLANK(Actuals!DC34),-736.03*Escalation!$B$103,Actuals!DC34)</f>
        <v>-845.4671119599</v>
      </c>
      <c r="DC216" s="13" t="n">
        <f aca="false">IF(ISBLANK(Actuals!DD34),-736.03*Escalation!$B$104,Actuals!DD34)</f>
        <v>-845.4671119599</v>
      </c>
      <c r="DD216" s="13" t="n">
        <f aca="false">IF(ISBLANK(Actuals!DE34),-736.03*Escalation!$B$105,Actuals!DE34)</f>
        <v>-845.4671119599</v>
      </c>
      <c r="DE216" s="13" t="n">
        <f aca="false">IF(ISBLANK(Actuals!DF34),-736.03*Escalation!$B$106,Actuals!DF34)</f>
        <v>-845.4671119599</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-1134.62</v>
      </c>
      <c r="R217" s="13" t="n">
        <f aca="false">IF(ISBLANK(Actuals!S35),-1134.62*Escalation!$B$15,Actuals!S35)</f>
        <v>-1134.62</v>
      </c>
      <c r="S217" s="13" t="n">
        <f aca="false">IF(ISBLANK(Actuals!T35),-1134.62*Escalation!$B$16,Actuals!T35)</f>
        <v>-1134.62</v>
      </c>
      <c r="T217" s="13" t="n">
        <f aca="false">IF(ISBLANK(Actuals!U35),-1134.62*Escalation!$B$17,Actuals!U35)</f>
        <v>-1134.62</v>
      </c>
      <c r="U217" s="13" t="n">
        <f aca="false">IF(ISBLANK(Actuals!V35),-1134.62*Escalation!$B$18,Actuals!V35)</f>
        <v>-1134.62</v>
      </c>
      <c r="V217" s="13" t="n">
        <f aca="false">IF(ISBLANK(Actuals!W35),-1134.62*Escalation!$B$19,Actuals!W35)</f>
        <v>-1134.62</v>
      </c>
      <c r="W217" s="13" t="n">
        <f aca="false">IF(ISBLANK(Actuals!X35),-1134.62*Escalation!$B$20,Actuals!X35)</f>
        <v>-1134.62</v>
      </c>
      <c r="X217" s="13" t="n">
        <f aca="false">IF(ISBLANK(Actuals!Y35),-1134.62*Escalation!$B$21,Actuals!Y35)</f>
        <v>-1134.62</v>
      </c>
      <c r="Y217" s="13" t="n">
        <f aca="false">IF(ISBLANK(Actuals!Z35),-1134.62*Escalation!$B$22,Actuals!Z35)</f>
        <v>-1134.62</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-1157.3124</v>
      </c>
      <c r="AD217" s="13" t="n">
        <f aca="false">IF(ISBLANK(Actuals!AE35),-1134.62*Escalation!$B$27,Actuals!AE35)</f>
        <v>-1157.3124</v>
      </c>
      <c r="AE217" s="13" t="n">
        <f aca="false">IF(ISBLANK(Actuals!AF35),-1134.62*Escalation!$B$28,Actuals!AF35)</f>
        <v>-1157.3124</v>
      </c>
      <c r="AF217" s="13" t="n">
        <f aca="false">IF(ISBLANK(Actuals!AG35),-1134.62*Escalation!$B$29,Actuals!AG35)</f>
        <v>-1157.3124</v>
      </c>
      <c r="AG217" s="13" t="n">
        <f aca="false">IF(ISBLANK(Actuals!AH35),-1134.62*Escalation!$B$30,Actuals!AH35)</f>
        <v>-1157.3124</v>
      </c>
      <c r="AH217" s="13" t="n">
        <f aca="false">IF(ISBLANK(Actuals!AI35),-1134.62*Escalation!$B$31,Actuals!AI35)</f>
        <v>-1157.3124</v>
      </c>
      <c r="AI217" s="13" t="n">
        <f aca="false">IF(ISBLANK(Actuals!AJ35),-1134.62*Escalation!$B$32,Actuals!AJ35)</f>
        <v>-1157.3124</v>
      </c>
      <c r="AJ217" s="13" t="n">
        <f aca="false">IF(ISBLANK(Actuals!AK35),-1134.62*Escalation!$B$33,Actuals!AK35)</f>
        <v>-1157.3124</v>
      </c>
      <c r="AK217" s="13" t="n">
        <f aca="false">IF(ISBLANK(Actuals!AL35),-1134.62*Escalation!$B$34,Actuals!AL35)</f>
        <v>-1157.3124</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-1180.458648</v>
      </c>
      <c r="AP217" s="13" t="n">
        <f aca="false">IF(ISBLANK(Actuals!AQ35),-1134.62*Escalation!$B$39,Actuals!AQ35)</f>
        <v>-1180.458648</v>
      </c>
      <c r="AQ217" s="13" t="n">
        <f aca="false">IF(ISBLANK(Actuals!AR35),-1134.62*Escalation!$B$40,Actuals!AR35)</f>
        <v>-1180.458648</v>
      </c>
      <c r="AR217" s="13" t="n">
        <f aca="false">IF(ISBLANK(Actuals!AS35),-1134.62*Escalation!$B$41,Actuals!AS35)</f>
        <v>-1180.458648</v>
      </c>
      <c r="AS217" s="13" t="n">
        <f aca="false">IF(ISBLANK(Actuals!AT35),-1134.62*Escalation!$B$42,Actuals!AT35)</f>
        <v>-1180.458648</v>
      </c>
      <c r="AT217" s="13" t="n">
        <f aca="false">IF(ISBLANK(Actuals!AU35),-1134.62*Escalation!$B$43,Actuals!AU35)</f>
        <v>-1180.458648</v>
      </c>
      <c r="AU217" s="13" t="n">
        <f aca="false">IF(ISBLANK(Actuals!AV35),-1134.62*Escalation!$B$44,Actuals!AV35)</f>
        <v>-1180.458648</v>
      </c>
      <c r="AV217" s="13" t="n">
        <f aca="false">IF(ISBLANK(Actuals!AW35),-1134.62*Escalation!$B$45,Actuals!AW35)</f>
        <v>-1180.458648</v>
      </c>
      <c r="AW217" s="13" t="n">
        <f aca="false">IF(ISBLANK(Actuals!AX35),-1134.62*Escalation!$B$46,Actuals!AX35)</f>
        <v>-1180.458648</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-1204.06782096</v>
      </c>
      <c r="BB217" s="13" t="n">
        <f aca="false">IF(ISBLANK(Actuals!BC35),-1134.62*Escalation!$B$51,Actuals!BC35)</f>
        <v>-1204.06782096</v>
      </c>
      <c r="BC217" s="13" t="n">
        <f aca="false">IF(ISBLANK(Actuals!BD35),-1134.62*Escalation!$B$52,Actuals!BD35)</f>
        <v>-1204.06782096</v>
      </c>
      <c r="BD217" s="13" t="n">
        <f aca="false">IF(ISBLANK(Actuals!BE35),-1134.62*Escalation!$B$53,Actuals!BE35)</f>
        <v>-1204.06782096</v>
      </c>
      <c r="BE217" s="13" t="n">
        <f aca="false">IF(ISBLANK(Actuals!BF35),-1134.62*Escalation!$B$54,Actuals!BF35)</f>
        <v>-1204.06782096</v>
      </c>
      <c r="BF217" s="13" t="n">
        <f aca="false">IF(ISBLANK(Actuals!BG35),-1134.62*Escalation!$B$55,Actuals!BG35)</f>
        <v>-1204.06782096</v>
      </c>
      <c r="BG217" s="13" t="n">
        <f aca="false">IF(ISBLANK(Actuals!BH35),-1134.62*Escalation!$B$56,Actuals!BH35)</f>
        <v>-1204.06782096</v>
      </c>
      <c r="BH217" s="13" t="n">
        <f aca="false">IF(ISBLANK(Actuals!BI35),-1134.62*Escalation!$B$57,Actuals!BI35)</f>
        <v>-1204.06782096</v>
      </c>
      <c r="BI217" s="13" t="n">
        <f aca="false">IF(ISBLANK(Actuals!BJ35),-1134.62*Escalation!$B$58,Actuals!BJ35)</f>
        <v>-1204.06782096</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-1228.1491773792</v>
      </c>
      <c r="BN217" s="13" t="n">
        <f aca="false">IF(ISBLANK(Actuals!BO35),-1134.62*Escalation!$B$63,Actuals!BO35)</f>
        <v>-1228.1491773792</v>
      </c>
      <c r="BO217" s="13" t="n">
        <f aca="false">IF(ISBLANK(Actuals!BP35),-1134.62*Escalation!$B$64,Actuals!BP35)</f>
        <v>-1228.1491773792</v>
      </c>
      <c r="BP217" s="13" t="n">
        <f aca="false">IF(ISBLANK(Actuals!BQ35),-1134.62*Escalation!$B$65,Actuals!BQ35)</f>
        <v>-1228.1491773792</v>
      </c>
      <c r="BQ217" s="13" t="n">
        <f aca="false">IF(ISBLANK(Actuals!BR35),-1134.62*Escalation!$B$66,Actuals!BR35)</f>
        <v>-1228.1491773792</v>
      </c>
      <c r="BR217" s="13" t="n">
        <f aca="false">IF(ISBLANK(Actuals!BS35),-1134.62*Escalation!$B$67,Actuals!BS35)</f>
        <v>-1228.1491773792</v>
      </c>
      <c r="BS217" s="13" t="n">
        <f aca="false">IF(ISBLANK(Actuals!BT35),-1134.62*Escalation!$B$68,Actuals!BT35)</f>
        <v>-1228.1491773792</v>
      </c>
      <c r="BT217" s="13" t="n">
        <f aca="false">IF(ISBLANK(Actuals!BU35),-1134.62*Escalation!$B$69,Actuals!BU35)</f>
        <v>-1228.1491773792</v>
      </c>
      <c r="BU217" s="13" t="n">
        <f aca="false">IF(ISBLANK(Actuals!BV35),-1134.62*Escalation!$B$70,Actuals!BV35)</f>
        <v>-1228.1491773792</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-1252.71216092678</v>
      </c>
      <c r="BZ217" s="13" t="n">
        <f aca="false">IF(ISBLANK(Actuals!CA35),-1134.62*Escalation!$B$75,Actuals!CA35)</f>
        <v>-1252.71216092678</v>
      </c>
      <c r="CA217" s="13" t="n">
        <f aca="false">IF(ISBLANK(Actuals!CB35),-1134.62*Escalation!$B$76,Actuals!CB35)</f>
        <v>-1252.71216092678</v>
      </c>
      <c r="CB217" s="13" t="n">
        <f aca="false">IF(ISBLANK(Actuals!CC35),-1134.62*Escalation!$B$77,Actuals!CC35)</f>
        <v>-1252.71216092678</v>
      </c>
      <c r="CC217" s="13" t="n">
        <f aca="false">IF(ISBLANK(Actuals!CD35),-1134.62*Escalation!$B$78,Actuals!CD35)</f>
        <v>-1252.71216092678</v>
      </c>
      <c r="CD217" s="13" t="n">
        <f aca="false">IF(ISBLANK(Actuals!CE35),-1134.62*Escalation!$B$79,Actuals!CE35)</f>
        <v>-1252.71216092678</v>
      </c>
      <c r="CE217" s="13" t="n">
        <f aca="false">IF(ISBLANK(Actuals!CF35),-1134.62*Escalation!$B$80,Actuals!CF35)</f>
        <v>-1252.71216092678</v>
      </c>
      <c r="CF217" s="13" t="n">
        <f aca="false">IF(ISBLANK(Actuals!CG35),-1134.62*Escalation!$B$81,Actuals!CG35)</f>
        <v>-1252.71216092678</v>
      </c>
      <c r="CG217" s="13" t="n">
        <f aca="false">IF(ISBLANK(Actuals!CH35),-1134.62*Escalation!$B$82,Actuals!CH35)</f>
        <v>-1252.71216092678</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-1277.76640414532</v>
      </c>
      <c r="CL217" s="13" t="n">
        <f aca="false">IF(ISBLANK(Actuals!CM35),-1134.62*Escalation!$B$87,Actuals!CM35)</f>
        <v>-1277.76640414532</v>
      </c>
      <c r="CM217" s="13" t="n">
        <f aca="false">IF(ISBLANK(Actuals!CN35),-1134.62*Escalation!$B$88,Actuals!CN35)</f>
        <v>-1277.76640414532</v>
      </c>
      <c r="CN217" s="13" t="n">
        <f aca="false">IF(ISBLANK(Actuals!CO35),-1134.62*Escalation!$B$89,Actuals!CO35)</f>
        <v>-1277.76640414532</v>
      </c>
      <c r="CO217" s="13" t="n">
        <f aca="false">IF(ISBLANK(Actuals!CP35),-1134.62*Escalation!$B$90,Actuals!CP35)</f>
        <v>-1277.76640414532</v>
      </c>
      <c r="CP217" s="13" t="n">
        <f aca="false">IF(ISBLANK(Actuals!CQ35),-1134.62*Escalation!$B$91,Actuals!CQ35)</f>
        <v>-1277.76640414532</v>
      </c>
      <c r="CQ217" s="13" t="n">
        <f aca="false">IF(ISBLANK(Actuals!CR35),-1134.62*Escalation!$B$92,Actuals!CR35)</f>
        <v>-1277.76640414532</v>
      </c>
      <c r="CR217" s="13" t="n">
        <f aca="false">IF(ISBLANK(Actuals!CS35),-1134.62*Escalation!$B$93,Actuals!CS35)</f>
        <v>-1277.76640414532</v>
      </c>
      <c r="CS217" s="13" t="n">
        <f aca="false">IF(ISBLANK(Actuals!CT35),-1134.62*Escalation!$B$94,Actuals!CT35)</f>
        <v>-1277.76640414532</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-1303.32173222823</v>
      </c>
      <c r="CX217" s="13" t="n">
        <f aca="false">IF(ISBLANK(Actuals!CY35),-1134.62*Escalation!$B$99,Actuals!CY35)</f>
        <v>-1303.32173222823</v>
      </c>
      <c r="CY217" s="13" t="n">
        <f aca="false">IF(ISBLANK(Actuals!CZ35),-1134.62*Escalation!$B$100,Actuals!CZ35)</f>
        <v>-1303.32173222823</v>
      </c>
      <c r="CZ217" s="13" t="n">
        <f aca="false">IF(ISBLANK(Actuals!DA35),-1134.62*Escalation!$B$101,Actuals!DA35)</f>
        <v>-1303.32173222823</v>
      </c>
      <c r="DA217" s="13" t="n">
        <f aca="false">IF(ISBLANK(Actuals!DB35),-1134.62*Escalation!$B$102,Actuals!DB35)</f>
        <v>-1303.32173222823</v>
      </c>
      <c r="DB217" s="13" t="n">
        <f aca="false">IF(ISBLANK(Actuals!DC35),-1134.62*Escalation!$B$103,Actuals!DC35)</f>
        <v>-1303.32173222823</v>
      </c>
      <c r="DC217" s="13" t="n">
        <f aca="false">IF(ISBLANK(Actuals!DD35),-1134.62*Escalation!$B$104,Actuals!DD35)</f>
        <v>-1303.32173222823</v>
      </c>
      <c r="DD217" s="13" t="n">
        <f aca="false">IF(ISBLANK(Actuals!DE35),-1134.62*Escalation!$B$105,Actuals!DE35)</f>
        <v>-1303.32173222823</v>
      </c>
      <c r="DE217" s="13" t="n">
        <f aca="false">IF(ISBLANK(Actuals!DF35),-1134.62*Escalation!$B$106,Actuals!DF35)</f>
        <v>-1303.32173222823</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-1270.83</v>
      </c>
      <c r="R218" s="13" t="n">
        <f aca="false">IF(ISBLANK(Actuals!S36),-1270.83*Escalation!$B$15,Actuals!S36)</f>
        <v>-1270.83</v>
      </c>
      <c r="S218" s="13" t="n">
        <f aca="false">IF(ISBLANK(Actuals!T36),-1270.83*Escalation!$B$16,Actuals!T36)</f>
        <v>-1270.83</v>
      </c>
      <c r="T218" s="13" t="n">
        <f aca="false">IF(ISBLANK(Actuals!U36),-1270.83*Escalation!$B$17,Actuals!U36)</f>
        <v>-1270.83</v>
      </c>
      <c r="U218" s="13" t="n">
        <f aca="false">IF(ISBLANK(Actuals!V36),-1270.83*Escalation!$B$18,Actuals!V36)</f>
        <v>-1270.83</v>
      </c>
      <c r="V218" s="13" t="n">
        <f aca="false">IF(ISBLANK(Actuals!W36),-1270.83*Escalation!$B$19,Actuals!W36)</f>
        <v>-1270.83</v>
      </c>
      <c r="W218" s="13" t="n">
        <f aca="false">IF(ISBLANK(Actuals!X36),-1270.83*Escalation!$B$20,Actuals!X36)</f>
        <v>-1270.83</v>
      </c>
      <c r="X218" s="13" t="n">
        <f aca="false">IF(ISBLANK(Actuals!Y36),-1270.83*Escalation!$B$21,Actuals!Y36)</f>
        <v>-1270.83</v>
      </c>
      <c r="Y218" s="13" t="n">
        <f aca="false">IF(ISBLANK(Actuals!Z36),-1270.83*Escalation!$B$22,Actuals!Z36)</f>
        <v>-1270.83</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-1296.2466</v>
      </c>
      <c r="AD218" s="13" t="n">
        <f aca="false">IF(ISBLANK(Actuals!AE36),-1270.83*Escalation!$B$27,Actuals!AE36)</f>
        <v>-1296.2466</v>
      </c>
      <c r="AE218" s="13" t="n">
        <f aca="false">IF(ISBLANK(Actuals!AF36),-1270.83*Escalation!$B$28,Actuals!AF36)</f>
        <v>-1296.2466</v>
      </c>
      <c r="AF218" s="13" t="n">
        <f aca="false">IF(ISBLANK(Actuals!AG36),-1270.83*Escalation!$B$29,Actuals!AG36)</f>
        <v>-1296.2466</v>
      </c>
      <c r="AG218" s="13" t="n">
        <f aca="false">IF(ISBLANK(Actuals!AH36),-1270.83*Escalation!$B$30,Actuals!AH36)</f>
        <v>-1296.2466</v>
      </c>
      <c r="AH218" s="13" t="n">
        <f aca="false">IF(ISBLANK(Actuals!AI36),-1270.83*Escalation!$B$31,Actuals!AI36)</f>
        <v>-1296.2466</v>
      </c>
      <c r="AI218" s="13" t="n">
        <f aca="false">IF(ISBLANK(Actuals!AJ36),-1270.83*Escalation!$B$32,Actuals!AJ36)</f>
        <v>-1296.2466</v>
      </c>
      <c r="AJ218" s="13" t="n">
        <f aca="false">IF(ISBLANK(Actuals!AK36),-1270.83*Escalation!$B$33,Actuals!AK36)</f>
        <v>-1296.2466</v>
      </c>
      <c r="AK218" s="13" t="n">
        <f aca="false">IF(ISBLANK(Actuals!AL36),-1270.83*Escalation!$B$34,Actuals!AL36)</f>
        <v>-1296.2466</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-1322.171532</v>
      </c>
      <c r="AP218" s="13" t="n">
        <f aca="false">IF(ISBLANK(Actuals!AQ36),-1270.83*Escalation!$B$39,Actuals!AQ36)</f>
        <v>-1322.171532</v>
      </c>
      <c r="AQ218" s="13" t="n">
        <f aca="false">IF(ISBLANK(Actuals!AR36),-1270.83*Escalation!$B$40,Actuals!AR36)</f>
        <v>-1322.171532</v>
      </c>
      <c r="AR218" s="13" t="n">
        <f aca="false">IF(ISBLANK(Actuals!AS36),-1270.83*Escalation!$B$41,Actuals!AS36)</f>
        <v>-1322.171532</v>
      </c>
      <c r="AS218" s="13" t="n">
        <f aca="false">IF(ISBLANK(Actuals!AT36),-1270.83*Escalation!$B$42,Actuals!AT36)</f>
        <v>-1322.171532</v>
      </c>
      <c r="AT218" s="13" t="n">
        <f aca="false">IF(ISBLANK(Actuals!AU36),-1270.83*Escalation!$B$43,Actuals!AU36)</f>
        <v>-1322.171532</v>
      </c>
      <c r="AU218" s="13" t="n">
        <f aca="false">IF(ISBLANK(Actuals!AV36),-1270.83*Escalation!$B$44,Actuals!AV36)</f>
        <v>-1322.171532</v>
      </c>
      <c r="AV218" s="13" t="n">
        <f aca="false">IF(ISBLANK(Actuals!AW36),-1270.83*Escalation!$B$45,Actuals!AW36)</f>
        <v>-1322.171532</v>
      </c>
      <c r="AW218" s="13" t="n">
        <f aca="false">IF(ISBLANK(Actuals!AX36),-1270.83*Escalation!$B$46,Actuals!AX36)</f>
        <v>-1322.171532</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-1348.61496264</v>
      </c>
      <c r="BB218" s="13" t="n">
        <f aca="false">IF(ISBLANK(Actuals!BC36),-1270.83*Escalation!$B$51,Actuals!BC36)</f>
        <v>-1348.61496264</v>
      </c>
      <c r="BC218" s="13" t="n">
        <f aca="false">IF(ISBLANK(Actuals!BD36),-1270.83*Escalation!$B$52,Actuals!BD36)</f>
        <v>-1348.61496264</v>
      </c>
      <c r="BD218" s="13" t="n">
        <f aca="false">IF(ISBLANK(Actuals!BE36),-1270.83*Escalation!$B$53,Actuals!BE36)</f>
        <v>-1348.61496264</v>
      </c>
      <c r="BE218" s="13" t="n">
        <f aca="false">IF(ISBLANK(Actuals!BF36),-1270.83*Escalation!$B$54,Actuals!BF36)</f>
        <v>-1348.61496264</v>
      </c>
      <c r="BF218" s="13" t="n">
        <f aca="false">IF(ISBLANK(Actuals!BG36),-1270.83*Escalation!$B$55,Actuals!BG36)</f>
        <v>-1348.61496264</v>
      </c>
      <c r="BG218" s="13" t="n">
        <f aca="false">IF(ISBLANK(Actuals!BH36),-1270.83*Escalation!$B$56,Actuals!BH36)</f>
        <v>-1348.61496264</v>
      </c>
      <c r="BH218" s="13" t="n">
        <f aca="false">IF(ISBLANK(Actuals!BI36),-1270.83*Escalation!$B$57,Actuals!BI36)</f>
        <v>-1348.61496264</v>
      </c>
      <c r="BI218" s="13" t="n">
        <f aca="false">IF(ISBLANK(Actuals!BJ36),-1270.83*Escalation!$B$58,Actuals!BJ36)</f>
        <v>-1348.61496264</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-1375.5872618928</v>
      </c>
      <c r="BN218" s="13" t="n">
        <f aca="false">IF(ISBLANK(Actuals!BO36),-1270.83*Escalation!$B$63,Actuals!BO36)</f>
        <v>-1375.5872618928</v>
      </c>
      <c r="BO218" s="13" t="n">
        <f aca="false">IF(ISBLANK(Actuals!BP36),-1270.83*Escalation!$B$64,Actuals!BP36)</f>
        <v>-1375.5872618928</v>
      </c>
      <c r="BP218" s="13" t="n">
        <f aca="false">IF(ISBLANK(Actuals!BQ36),-1270.83*Escalation!$B$65,Actuals!BQ36)</f>
        <v>-1375.5872618928</v>
      </c>
      <c r="BQ218" s="13" t="n">
        <f aca="false">IF(ISBLANK(Actuals!BR36),-1270.83*Escalation!$B$66,Actuals!BR36)</f>
        <v>-1375.5872618928</v>
      </c>
      <c r="BR218" s="13" t="n">
        <f aca="false">IF(ISBLANK(Actuals!BS36),-1270.83*Escalation!$B$67,Actuals!BS36)</f>
        <v>-1375.5872618928</v>
      </c>
      <c r="BS218" s="13" t="n">
        <f aca="false">IF(ISBLANK(Actuals!BT36),-1270.83*Escalation!$B$68,Actuals!BT36)</f>
        <v>-1375.5872618928</v>
      </c>
      <c r="BT218" s="13" t="n">
        <f aca="false">IF(ISBLANK(Actuals!BU36),-1270.83*Escalation!$B$69,Actuals!BU36)</f>
        <v>-1375.5872618928</v>
      </c>
      <c r="BU218" s="13" t="n">
        <f aca="false">IF(ISBLANK(Actuals!BV36),-1270.83*Escalation!$B$70,Actuals!BV36)</f>
        <v>-1375.5872618928</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-1403.09900713066</v>
      </c>
      <c r="BZ218" s="13" t="n">
        <f aca="false">IF(ISBLANK(Actuals!CA36),-1270.83*Escalation!$B$75,Actuals!CA36)</f>
        <v>-1403.09900713066</v>
      </c>
      <c r="CA218" s="13" t="n">
        <f aca="false">IF(ISBLANK(Actuals!CB36),-1270.83*Escalation!$B$76,Actuals!CB36)</f>
        <v>-1403.09900713066</v>
      </c>
      <c r="CB218" s="13" t="n">
        <f aca="false">IF(ISBLANK(Actuals!CC36),-1270.83*Escalation!$B$77,Actuals!CC36)</f>
        <v>-1403.09900713066</v>
      </c>
      <c r="CC218" s="13" t="n">
        <f aca="false">IF(ISBLANK(Actuals!CD36),-1270.83*Escalation!$B$78,Actuals!CD36)</f>
        <v>-1403.09900713066</v>
      </c>
      <c r="CD218" s="13" t="n">
        <f aca="false">IF(ISBLANK(Actuals!CE36),-1270.83*Escalation!$B$79,Actuals!CE36)</f>
        <v>-1403.09900713066</v>
      </c>
      <c r="CE218" s="13" t="n">
        <f aca="false">IF(ISBLANK(Actuals!CF36),-1270.83*Escalation!$B$80,Actuals!CF36)</f>
        <v>-1403.09900713066</v>
      </c>
      <c r="CF218" s="13" t="n">
        <f aca="false">IF(ISBLANK(Actuals!CG36),-1270.83*Escalation!$B$81,Actuals!CG36)</f>
        <v>-1403.09900713066</v>
      </c>
      <c r="CG218" s="13" t="n">
        <f aca="false">IF(ISBLANK(Actuals!CH36),-1270.83*Escalation!$B$82,Actuals!CH36)</f>
        <v>-1403.09900713066</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-1431.16098727327</v>
      </c>
      <c r="CL218" s="13" t="n">
        <f aca="false">IF(ISBLANK(Actuals!CM36),-1270.83*Escalation!$B$87,Actuals!CM36)</f>
        <v>-1431.16098727327</v>
      </c>
      <c r="CM218" s="13" t="n">
        <f aca="false">IF(ISBLANK(Actuals!CN36),-1270.83*Escalation!$B$88,Actuals!CN36)</f>
        <v>-1431.16098727327</v>
      </c>
      <c r="CN218" s="13" t="n">
        <f aca="false">IF(ISBLANK(Actuals!CO36),-1270.83*Escalation!$B$89,Actuals!CO36)</f>
        <v>-1431.16098727327</v>
      </c>
      <c r="CO218" s="13" t="n">
        <f aca="false">IF(ISBLANK(Actuals!CP36),-1270.83*Escalation!$B$90,Actuals!CP36)</f>
        <v>-1431.16098727327</v>
      </c>
      <c r="CP218" s="13" t="n">
        <f aca="false">IF(ISBLANK(Actuals!CQ36),-1270.83*Escalation!$B$91,Actuals!CQ36)</f>
        <v>-1431.16098727327</v>
      </c>
      <c r="CQ218" s="13" t="n">
        <f aca="false">IF(ISBLANK(Actuals!CR36),-1270.83*Escalation!$B$92,Actuals!CR36)</f>
        <v>-1431.16098727327</v>
      </c>
      <c r="CR218" s="13" t="n">
        <f aca="false">IF(ISBLANK(Actuals!CS36),-1270.83*Escalation!$B$93,Actuals!CS36)</f>
        <v>-1431.16098727327</v>
      </c>
      <c r="CS218" s="13" t="n">
        <f aca="false">IF(ISBLANK(Actuals!CT36),-1270.83*Escalation!$B$94,Actuals!CT36)</f>
        <v>-1431.16098727327</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-1459.78420701873</v>
      </c>
      <c r="CX218" s="13" t="n">
        <f aca="false">IF(ISBLANK(Actuals!CY36),-1270.83*Escalation!$B$99,Actuals!CY36)</f>
        <v>-1459.78420701873</v>
      </c>
      <c r="CY218" s="13" t="n">
        <f aca="false">IF(ISBLANK(Actuals!CZ36),-1270.83*Escalation!$B$100,Actuals!CZ36)</f>
        <v>-1459.78420701873</v>
      </c>
      <c r="CZ218" s="13" t="n">
        <f aca="false">IF(ISBLANK(Actuals!DA36),-1270.83*Escalation!$B$101,Actuals!DA36)</f>
        <v>-1459.78420701873</v>
      </c>
      <c r="DA218" s="13" t="n">
        <f aca="false">IF(ISBLANK(Actuals!DB36),-1270.83*Escalation!$B$102,Actuals!DB36)</f>
        <v>-1459.78420701873</v>
      </c>
      <c r="DB218" s="13" t="n">
        <f aca="false">IF(ISBLANK(Actuals!DC36),-1270.83*Escalation!$B$103,Actuals!DC36)</f>
        <v>-1459.78420701873</v>
      </c>
      <c r="DC218" s="13" t="n">
        <f aca="false">IF(ISBLANK(Actuals!DD36),-1270.83*Escalation!$B$104,Actuals!DD36)</f>
        <v>-1459.78420701873</v>
      </c>
      <c r="DD218" s="13" t="n">
        <f aca="false">IF(ISBLANK(Actuals!DE36),-1270.83*Escalation!$B$105,Actuals!DE36)</f>
        <v>-1459.78420701873</v>
      </c>
      <c r="DE218" s="13" t="n">
        <f aca="false">IF(ISBLANK(Actuals!DF36),-1270.83*Escalation!$B$106,Actuals!DF36)</f>
        <v>-1459.78420701873</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-5916.33</v>
      </c>
      <c r="R219" s="13" t="n">
        <f aca="false">IF(ISBLANK(Actuals!S37),-5916.33*Escalation!$B$15,Actuals!S37)</f>
        <v>-5916.33</v>
      </c>
      <c r="S219" s="13" t="n">
        <f aca="false">IF(ISBLANK(Actuals!T37),-5916.33*Escalation!$B$16,Actuals!T37)</f>
        <v>-5916.33</v>
      </c>
      <c r="T219" s="13" t="n">
        <f aca="false">IF(ISBLANK(Actuals!U37),-5916.33*Escalation!$B$17,Actuals!U37)</f>
        <v>-5916.33</v>
      </c>
      <c r="U219" s="13" t="n">
        <f aca="false">IF(ISBLANK(Actuals!V37),-5916.33*Escalation!$B$18,Actuals!V37)</f>
        <v>-5916.33</v>
      </c>
      <c r="V219" s="13" t="n">
        <f aca="false">IF(ISBLANK(Actuals!W37),-5916.33*Escalation!$B$19,Actuals!W37)</f>
        <v>-5916.33</v>
      </c>
      <c r="W219" s="13" t="n">
        <f aca="false">IF(ISBLANK(Actuals!X37),-5916.33*Escalation!$B$20,Actuals!X37)</f>
        <v>-5916.33</v>
      </c>
      <c r="X219" s="13" t="n">
        <f aca="false">IF(ISBLANK(Actuals!Y37),-5916.33*Escalation!$B$21,Actuals!Y37)</f>
        <v>-5916.33</v>
      </c>
      <c r="Y219" s="13" t="n">
        <f aca="false">IF(ISBLANK(Actuals!Z37),-5916.33*Escalation!$B$22,Actuals!Z37)</f>
        <v>-5916.33</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-6034.6566</v>
      </c>
      <c r="AD219" s="13" t="n">
        <f aca="false">IF(ISBLANK(Actuals!AE37),-5916.33*Escalation!$B$27,Actuals!AE37)</f>
        <v>-6034.6566</v>
      </c>
      <c r="AE219" s="13" t="n">
        <f aca="false">IF(ISBLANK(Actuals!AF37),-5916.33*Escalation!$B$28,Actuals!AF37)</f>
        <v>-6034.6566</v>
      </c>
      <c r="AF219" s="13" t="n">
        <f aca="false">IF(ISBLANK(Actuals!AG37),-5916.33*Escalation!$B$29,Actuals!AG37)</f>
        <v>-6034.6566</v>
      </c>
      <c r="AG219" s="13" t="n">
        <f aca="false">IF(ISBLANK(Actuals!AH37),-5916.33*Escalation!$B$30,Actuals!AH37)</f>
        <v>-6034.6566</v>
      </c>
      <c r="AH219" s="13" t="n">
        <f aca="false">IF(ISBLANK(Actuals!AI37),-5916.33*Escalation!$B$31,Actuals!AI37)</f>
        <v>-6034.6566</v>
      </c>
      <c r="AI219" s="13" t="n">
        <f aca="false">IF(ISBLANK(Actuals!AJ37),-5916.33*Escalation!$B$32,Actuals!AJ37)</f>
        <v>-6034.6566</v>
      </c>
      <c r="AJ219" s="13" t="n">
        <f aca="false">IF(ISBLANK(Actuals!AK37),-5916.33*Escalation!$B$33,Actuals!AK37)</f>
        <v>-6034.6566</v>
      </c>
      <c r="AK219" s="13" t="n">
        <f aca="false">IF(ISBLANK(Actuals!AL37),-5916.33*Escalation!$B$34,Actuals!AL37)</f>
        <v>-6034.6566</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-6155.349732</v>
      </c>
      <c r="AP219" s="13" t="n">
        <f aca="false">IF(ISBLANK(Actuals!AQ37),-5916.33*Escalation!$B$39,Actuals!AQ37)</f>
        <v>-6155.349732</v>
      </c>
      <c r="AQ219" s="13" t="n">
        <f aca="false">IF(ISBLANK(Actuals!AR37),-5916.33*Escalation!$B$40,Actuals!AR37)</f>
        <v>-6155.349732</v>
      </c>
      <c r="AR219" s="13" t="n">
        <f aca="false">IF(ISBLANK(Actuals!AS37),-5916.33*Escalation!$B$41,Actuals!AS37)</f>
        <v>-6155.349732</v>
      </c>
      <c r="AS219" s="13" t="n">
        <f aca="false">IF(ISBLANK(Actuals!AT37),-5916.33*Escalation!$B$42,Actuals!AT37)</f>
        <v>-6155.349732</v>
      </c>
      <c r="AT219" s="13" t="n">
        <f aca="false">IF(ISBLANK(Actuals!AU37),-5916.33*Escalation!$B$43,Actuals!AU37)</f>
        <v>-6155.349732</v>
      </c>
      <c r="AU219" s="13" t="n">
        <f aca="false">IF(ISBLANK(Actuals!AV37),-5916.33*Escalation!$B$44,Actuals!AV37)</f>
        <v>-6155.349732</v>
      </c>
      <c r="AV219" s="13" t="n">
        <f aca="false">IF(ISBLANK(Actuals!AW37),-5916.33*Escalation!$B$45,Actuals!AW37)</f>
        <v>-6155.349732</v>
      </c>
      <c r="AW219" s="13" t="n">
        <f aca="false">IF(ISBLANK(Actuals!AX37),-5916.33*Escalation!$B$46,Actuals!AX37)</f>
        <v>-6155.349732</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-6278.45672664</v>
      </c>
      <c r="BB219" s="13" t="n">
        <f aca="false">IF(ISBLANK(Actuals!BC37),-5916.33*Escalation!$B$51,Actuals!BC37)</f>
        <v>-6278.45672664</v>
      </c>
      <c r="BC219" s="13" t="n">
        <f aca="false">IF(ISBLANK(Actuals!BD37),-5916.33*Escalation!$B$52,Actuals!BD37)</f>
        <v>-6278.45672664</v>
      </c>
      <c r="BD219" s="13" t="n">
        <f aca="false">IF(ISBLANK(Actuals!BE37),-5916.33*Escalation!$B$53,Actuals!BE37)</f>
        <v>-6278.45672664</v>
      </c>
      <c r="BE219" s="13" t="n">
        <f aca="false">IF(ISBLANK(Actuals!BF37),-5916.33*Escalation!$B$54,Actuals!BF37)</f>
        <v>-6278.45672664</v>
      </c>
      <c r="BF219" s="13" t="n">
        <f aca="false">IF(ISBLANK(Actuals!BG37),-5916.33*Escalation!$B$55,Actuals!BG37)</f>
        <v>-6278.45672664</v>
      </c>
      <c r="BG219" s="13" t="n">
        <f aca="false">IF(ISBLANK(Actuals!BH37),-5916.33*Escalation!$B$56,Actuals!BH37)</f>
        <v>-6278.45672664</v>
      </c>
      <c r="BH219" s="13" t="n">
        <f aca="false">IF(ISBLANK(Actuals!BI37),-5916.33*Escalation!$B$57,Actuals!BI37)</f>
        <v>-6278.45672664</v>
      </c>
      <c r="BI219" s="13" t="n">
        <f aca="false">IF(ISBLANK(Actuals!BJ37),-5916.33*Escalation!$B$58,Actuals!BJ37)</f>
        <v>-6278.45672664</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-6404.0258611728</v>
      </c>
      <c r="BN219" s="13" t="n">
        <f aca="false">IF(ISBLANK(Actuals!BO37),-5916.33*Escalation!$B$63,Actuals!BO37)</f>
        <v>-6404.0258611728</v>
      </c>
      <c r="BO219" s="13" t="n">
        <f aca="false">IF(ISBLANK(Actuals!BP37),-5916.33*Escalation!$B$64,Actuals!BP37)</f>
        <v>-6404.0258611728</v>
      </c>
      <c r="BP219" s="13" t="n">
        <f aca="false">IF(ISBLANK(Actuals!BQ37),-5916.33*Escalation!$B$65,Actuals!BQ37)</f>
        <v>-6404.0258611728</v>
      </c>
      <c r="BQ219" s="13" t="n">
        <f aca="false">IF(ISBLANK(Actuals!BR37),-5916.33*Escalation!$B$66,Actuals!BR37)</f>
        <v>-6404.0258611728</v>
      </c>
      <c r="BR219" s="13" t="n">
        <f aca="false">IF(ISBLANK(Actuals!BS37),-5916.33*Escalation!$B$67,Actuals!BS37)</f>
        <v>-6404.0258611728</v>
      </c>
      <c r="BS219" s="13" t="n">
        <f aca="false">IF(ISBLANK(Actuals!BT37),-5916.33*Escalation!$B$68,Actuals!BT37)</f>
        <v>-6404.0258611728</v>
      </c>
      <c r="BT219" s="13" t="n">
        <f aca="false">IF(ISBLANK(Actuals!BU37),-5916.33*Escalation!$B$69,Actuals!BU37)</f>
        <v>-6404.0258611728</v>
      </c>
      <c r="BU219" s="13" t="n">
        <f aca="false">IF(ISBLANK(Actuals!BV37),-5916.33*Escalation!$B$70,Actuals!BV37)</f>
        <v>-6404.0258611728</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-6532.10637839626</v>
      </c>
      <c r="BZ219" s="13" t="n">
        <f aca="false">IF(ISBLANK(Actuals!CA37),-5916.33*Escalation!$B$75,Actuals!CA37)</f>
        <v>-6532.10637839626</v>
      </c>
      <c r="CA219" s="13" t="n">
        <f aca="false">IF(ISBLANK(Actuals!CB37),-5916.33*Escalation!$B$76,Actuals!CB37)</f>
        <v>-6532.10637839626</v>
      </c>
      <c r="CB219" s="13" t="n">
        <f aca="false">IF(ISBLANK(Actuals!CC37),-5916.33*Escalation!$B$77,Actuals!CC37)</f>
        <v>-6532.10637839626</v>
      </c>
      <c r="CC219" s="13" t="n">
        <f aca="false">IF(ISBLANK(Actuals!CD37),-5916.33*Escalation!$B$78,Actuals!CD37)</f>
        <v>-6532.10637839626</v>
      </c>
      <c r="CD219" s="13" t="n">
        <f aca="false">IF(ISBLANK(Actuals!CE37),-5916.33*Escalation!$B$79,Actuals!CE37)</f>
        <v>-6532.10637839626</v>
      </c>
      <c r="CE219" s="13" t="n">
        <f aca="false">IF(ISBLANK(Actuals!CF37),-5916.33*Escalation!$B$80,Actuals!CF37)</f>
        <v>-6532.10637839626</v>
      </c>
      <c r="CF219" s="13" t="n">
        <f aca="false">IF(ISBLANK(Actuals!CG37),-5916.33*Escalation!$B$81,Actuals!CG37)</f>
        <v>-6532.10637839626</v>
      </c>
      <c r="CG219" s="13" t="n">
        <f aca="false">IF(ISBLANK(Actuals!CH37),-5916.33*Escalation!$B$82,Actuals!CH37)</f>
        <v>-6532.10637839626</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-6662.74850596418</v>
      </c>
      <c r="CL219" s="13" t="n">
        <f aca="false">IF(ISBLANK(Actuals!CM37),-5916.33*Escalation!$B$87,Actuals!CM37)</f>
        <v>-6662.74850596418</v>
      </c>
      <c r="CM219" s="13" t="n">
        <f aca="false">IF(ISBLANK(Actuals!CN37),-5916.33*Escalation!$B$88,Actuals!CN37)</f>
        <v>-6662.74850596418</v>
      </c>
      <c r="CN219" s="13" t="n">
        <f aca="false">IF(ISBLANK(Actuals!CO37),-5916.33*Escalation!$B$89,Actuals!CO37)</f>
        <v>-6662.74850596418</v>
      </c>
      <c r="CO219" s="13" t="n">
        <f aca="false">IF(ISBLANK(Actuals!CP37),-5916.33*Escalation!$B$90,Actuals!CP37)</f>
        <v>-6662.74850596418</v>
      </c>
      <c r="CP219" s="13" t="n">
        <f aca="false">IF(ISBLANK(Actuals!CQ37),-5916.33*Escalation!$B$91,Actuals!CQ37)</f>
        <v>-6662.74850596418</v>
      </c>
      <c r="CQ219" s="13" t="n">
        <f aca="false">IF(ISBLANK(Actuals!CR37),-5916.33*Escalation!$B$92,Actuals!CR37)</f>
        <v>-6662.74850596418</v>
      </c>
      <c r="CR219" s="13" t="n">
        <f aca="false">IF(ISBLANK(Actuals!CS37),-5916.33*Escalation!$B$93,Actuals!CS37)</f>
        <v>-6662.74850596418</v>
      </c>
      <c r="CS219" s="13" t="n">
        <f aca="false">IF(ISBLANK(Actuals!CT37),-5916.33*Escalation!$B$94,Actuals!CT37)</f>
        <v>-6662.74850596418</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-6796.00347608347</v>
      </c>
      <c r="CX219" s="13" t="n">
        <f aca="false">IF(ISBLANK(Actuals!CY37),-5916.33*Escalation!$B$99,Actuals!CY37)</f>
        <v>-6796.00347608347</v>
      </c>
      <c r="CY219" s="13" t="n">
        <f aca="false">IF(ISBLANK(Actuals!CZ37),-5916.33*Escalation!$B$100,Actuals!CZ37)</f>
        <v>-6796.00347608347</v>
      </c>
      <c r="CZ219" s="13" t="n">
        <f aca="false">IF(ISBLANK(Actuals!DA37),-5916.33*Escalation!$B$101,Actuals!DA37)</f>
        <v>-6796.00347608347</v>
      </c>
      <c r="DA219" s="13" t="n">
        <f aca="false">IF(ISBLANK(Actuals!DB37),-5916.33*Escalation!$B$102,Actuals!DB37)</f>
        <v>-6796.00347608347</v>
      </c>
      <c r="DB219" s="13" t="n">
        <f aca="false">IF(ISBLANK(Actuals!DC37),-5916.33*Escalation!$B$103,Actuals!DC37)</f>
        <v>-6796.00347608347</v>
      </c>
      <c r="DC219" s="13" t="n">
        <f aca="false">IF(ISBLANK(Actuals!DD37),-5916.33*Escalation!$B$104,Actuals!DD37)</f>
        <v>-6796.00347608347</v>
      </c>
      <c r="DD219" s="13" t="n">
        <f aca="false">IF(ISBLANK(Actuals!DE37),-5916.33*Escalation!$B$105,Actuals!DE37)</f>
        <v>-6796.00347608347</v>
      </c>
      <c r="DE219" s="13" t="n">
        <f aca="false">IF(ISBLANK(Actuals!DF37),-5916.33*Escalation!$B$106,Actuals!DF37)</f>
        <v>-6796.00347608347</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-250.13</v>
      </c>
      <c r="R220" s="13" t="n">
        <f aca="false">IF(ISBLANK(Actuals!S38),-250.13*Escalation!$B$15,Actuals!S38)</f>
        <v>-250.13</v>
      </c>
      <c r="S220" s="13" t="n">
        <f aca="false">IF(ISBLANK(Actuals!T38),-250.13*Escalation!$B$16,Actuals!T38)</f>
        <v>-250.13</v>
      </c>
      <c r="T220" s="13" t="n">
        <f aca="false">IF(ISBLANK(Actuals!U38),-250.13*Escalation!$B$17,Actuals!U38)</f>
        <v>-250.13</v>
      </c>
      <c r="U220" s="13" t="n">
        <f aca="false">IF(ISBLANK(Actuals!V38),-250.13*Escalation!$B$18,Actuals!V38)</f>
        <v>-250.13</v>
      </c>
      <c r="V220" s="13" t="n">
        <f aca="false">IF(ISBLANK(Actuals!W38),-250.13*Escalation!$B$19,Actuals!W38)</f>
        <v>-250.13</v>
      </c>
      <c r="W220" s="13" t="n">
        <f aca="false">IF(ISBLANK(Actuals!X38),-250.13*Escalation!$B$20,Actuals!X38)</f>
        <v>-250.13</v>
      </c>
      <c r="X220" s="13" t="n">
        <f aca="false">IF(ISBLANK(Actuals!Y38),-250.13*Escalation!$B$21,Actuals!Y38)</f>
        <v>-250.13</v>
      </c>
      <c r="Y220" s="13" t="n">
        <f aca="false">IF(ISBLANK(Actuals!Z38),-250.13*Escalation!$B$22,Actuals!Z38)</f>
        <v>-250.13</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-255.1326</v>
      </c>
      <c r="AD220" s="13" t="n">
        <f aca="false">IF(ISBLANK(Actuals!AE38),-250.13*Escalation!$B$27,Actuals!AE38)</f>
        <v>-255.1326</v>
      </c>
      <c r="AE220" s="13" t="n">
        <f aca="false">IF(ISBLANK(Actuals!AF38),-250.13*Escalation!$B$28,Actuals!AF38)</f>
        <v>-255.1326</v>
      </c>
      <c r="AF220" s="13" t="n">
        <f aca="false">IF(ISBLANK(Actuals!AG38),-250.13*Escalation!$B$29,Actuals!AG38)</f>
        <v>-255.1326</v>
      </c>
      <c r="AG220" s="13" t="n">
        <f aca="false">IF(ISBLANK(Actuals!AH38),-250.13*Escalation!$B$30,Actuals!AH38)</f>
        <v>-255.1326</v>
      </c>
      <c r="AH220" s="13" t="n">
        <f aca="false">IF(ISBLANK(Actuals!AI38),-250.13*Escalation!$B$31,Actuals!AI38)</f>
        <v>-255.1326</v>
      </c>
      <c r="AI220" s="13" t="n">
        <f aca="false">IF(ISBLANK(Actuals!AJ38),-250.13*Escalation!$B$32,Actuals!AJ38)</f>
        <v>-255.1326</v>
      </c>
      <c r="AJ220" s="13" t="n">
        <f aca="false">IF(ISBLANK(Actuals!AK38),-250.13*Escalation!$B$33,Actuals!AK38)</f>
        <v>-255.1326</v>
      </c>
      <c r="AK220" s="13" t="n">
        <f aca="false">IF(ISBLANK(Actuals!AL38),-250.13*Escalation!$B$34,Actuals!AL38)</f>
        <v>-255.1326</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-260.235252</v>
      </c>
      <c r="AP220" s="13" t="n">
        <f aca="false">IF(ISBLANK(Actuals!AQ38),-250.13*Escalation!$B$39,Actuals!AQ38)</f>
        <v>-260.235252</v>
      </c>
      <c r="AQ220" s="13" t="n">
        <f aca="false">IF(ISBLANK(Actuals!AR38),-250.13*Escalation!$B$40,Actuals!AR38)</f>
        <v>-260.235252</v>
      </c>
      <c r="AR220" s="13" t="n">
        <f aca="false">IF(ISBLANK(Actuals!AS38),-250.13*Escalation!$B$41,Actuals!AS38)</f>
        <v>-260.235252</v>
      </c>
      <c r="AS220" s="13" t="n">
        <f aca="false">IF(ISBLANK(Actuals!AT38),-250.13*Escalation!$B$42,Actuals!AT38)</f>
        <v>-260.235252</v>
      </c>
      <c r="AT220" s="13" t="n">
        <f aca="false">IF(ISBLANK(Actuals!AU38),-250.13*Escalation!$B$43,Actuals!AU38)</f>
        <v>-260.235252</v>
      </c>
      <c r="AU220" s="13" t="n">
        <f aca="false">IF(ISBLANK(Actuals!AV38),-250.13*Escalation!$B$44,Actuals!AV38)</f>
        <v>-260.235252</v>
      </c>
      <c r="AV220" s="13" t="n">
        <f aca="false">IF(ISBLANK(Actuals!AW38),-250.13*Escalation!$B$45,Actuals!AW38)</f>
        <v>-260.235252</v>
      </c>
      <c r="AW220" s="13" t="n">
        <f aca="false">IF(ISBLANK(Actuals!AX38),-250.13*Escalation!$B$46,Actuals!AX38)</f>
        <v>-260.235252</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-265.43995704</v>
      </c>
      <c r="BB220" s="13" t="n">
        <f aca="false">IF(ISBLANK(Actuals!BC38),-250.13*Escalation!$B$51,Actuals!BC38)</f>
        <v>-265.43995704</v>
      </c>
      <c r="BC220" s="13" t="n">
        <f aca="false">IF(ISBLANK(Actuals!BD38),-250.13*Escalation!$B$52,Actuals!BD38)</f>
        <v>-265.43995704</v>
      </c>
      <c r="BD220" s="13" t="n">
        <f aca="false">IF(ISBLANK(Actuals!BE38),-250.13*Escalation!$B$53,Actuals!BE38)</f>
        <v>-265.43995704</v>
      </c>
      <c r="BE220" s="13" t="n">
        <f aca="false">IF(ISBLANK(Actuals!BF38),-250.13*Escalation!$B$54,Actuals!BF38)</f>
        <v>-265.43995704</v>
      </c>
      <c r="BF220" s="13" t="n">
        <f aca="false">IF(ISBLANK(Actuals!BG38),-250.13*Escalation!$B$55,Actuals!BG38)</f>
        <v>-265.43995704</v>
      </c>
      <c r="BG220" s="13" t="n">
        <f aca="false">IF(ISBLANK(Actuals!BH38),-250.13*Escalation!$B$56,Actuals!BH38)</f>
        <v>-265.43995704</v>
      </c>
      <c r="BH220" s="13" t="n">
        <f aca="false">IF(ISBLANK(Actuals!BI38),-250.13*Escalation!$B$57,Actuals!BI38)</f>
        <v>-265.43995704</v>
      </c>
      <c r="BI220" s="13" t="n">
        <f aca="false">IF(ISBLANK(Actuals!BJ38),-250.13*Escalation!$B$58,Actuals!BJ38)</f>
        <v>-265.43995704</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-270.7487561808</v>
      </c>
      <c r="BN220" s="13" t="n">
        <f aca="false">IF(ISBLANK(Actuals!BO38),-250.13*Escalation!$B$63,Actuals!BO38)</f>
        <v>-270.7487561808</v>
      </c>
      <c r="BO220" s="13" t="n">
        <f aca="false">IF(ISBLANK(Actuals!BP38),-250.13*Escalation!$B$64,Actuals!BP38)</f>
        <v>-270.7487561808</v>
      </c>
      <c r="BP220" s="13" t="n">
        <f aca="false">IF(ISBLANK(Actuals!BQ38),-250.13*Escalation!$B$65,Actuals!BQ38)</f>
        <v>-270.7487561808</v>
      </c>
      <c r="BQ220" s="13" t="n">
        <f aca="false">IF(ISBLANK(Actuals!BR38),-250.13*Escalation!$B$66,Actuals!BR38)</f>
        <v>-270.7487561808</v>
      </c>
      <c r="BR220" s="13" t="n">
        <f aca="false">IF(ISBLANK(Actuals!BS38),-250.13*Escalation!$B$67,Actuals!BS38)</f>
        <v>-270.7487561808</v>
      </c>
      <c r="BS220" s="13" t="n">
        <f aca="false">IF(ISBLANK(Actuals!BT38),-250.13*Escalation!$B$68,Actuals!BT38)</f>
        <v>-270.7487561808</v>
      </c>
      <c r="BT220" s="13" t="n">
        <f aca="false">IF(ISBLANK(Actuals!BU38),-250.13*Escalation!$B$69,Actuals!BU38)</f>
        <v>-270.7487561808</v>
      </c>
      <c r="BU220" s="13" t="n">
        <f aca="false">IF(ISBLANK(Actuals!BV38),-250.13*Escalation!$B$70,Actuals!BV38)</f>
        <v>-270.7487561808</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-276.163731304416</v>
      </c>
      <c r="BZ220" s="13" t="n">
        <f aca="false">IF(ISBLANK(Actuals!CA38),-250.13*Escalation!$B$75,Actuals!CA38)</f>
        <v>-276.163731304416</v>
      </c>
      <c r="CA220" s="13" t="n">
        <f aca="false">IF(ISBLANK(Actuals!CB38),-250.13*Escalation!$B$76,Actuals!CB38)</f>
        <v>-276.163731304416</v>
      </c>
      <c r="CB220" s="13" t="n">
        <f aca="false">IF(ISBLANK(Actuals!CC38),-250.13*Escalation!$B$77,Actuals!CC38)</f>
        <v>-276.163731304416</v>
      </c>
      <c r="CC220" s="13" t="n">
        <f aca="false">IF(ISBLANK(Actuals!CD38),-250.13*Escalation!$B$78,Actuals!CD38)</f>
        <v>-276.163731304416</v>
      </c>
      <c r="CD220" s="13" t="n">
        <f aca="false">IF(ISBLANK(Actuals!CE38),-250.13*Escalation!$B$79,Actuals!CE38)</f>
        <v>-276.163731304416</v>
      </c>
      <c r="CE220" s="13" t="n">
        <f aca="false">IF(ISBLANK(Actuals!CF38),-250.13*Escalation!$B$80,Actuals!CF38)</f>
        <v>-276.163731304416</v>
      </c>
      <c r="CF220" s="13" t="n">
        <f aca="false">IF(ISBLANK(Actuals!CG38),-250.13*Escalation!$B$81,Actuals!CG38)</f>
        <v>-276.163731304416</v>
      </c>
      <c r="CG220" s="13" t="n">
        <f aca="false">IF(ISBLANK(Actuals!CH38),-250.13*Escalation!$B$82,Actuals!CH38)</f>
        <v>-276.163731304416</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-281.687005930504</v>
      </c>
      <c r="CL220" s="13" t="n">
        <f aca="false">IF(ISBLANK(Actuals!CM38),-250.13*Escalation!$B$87,Actuals!CM38)</f>
        <v>-281.687005930504</v>
      </c>
      <c r="CM220" s="13" t="n">
        <f aca="false">IF(ISBLANK(Actuals!CN38),-250.13*Escalation!$B$88,Actuals!CN38)</f>
        <v>-281.687005930504</v>
      </c>
      <c r="CN220" s="13" t="n">
        <f aca="false">IF(ISBLANK(Actuals!CO38),-250.13*Escalation!$B$89,Actuals!CO38)</f>
        <v>-281.687005930504</v>
      </c>
      <c r="CO220" s="13" t="n">
        <f aca="false">IF(ISBLANK(Actuals!CP38),-250.13*Escalation!$B$90,Actuals!CP38)</f>
        <v>-281.687005930504</v>
      </c>
      <c r="CP220" s="13" t="n">
        <f aca="false">IF(ISBLANK(Actuals!CQ38),-250.13*Escalation!$B$91,Actuals!CQ38)</f>
        <v>-281.687005930504</v>
      </c>
      <c r="CQ220" s="13" t="n">
        <f aca="false">IF(ISBLANK(Actuals!CR38),-250.13*Escalation!$B$92,Actuals!CR38)</f>
        <v>-281.687005930504</v>
      </c>
      <c r="CR220" s="13" t="n">
        <f aca="false">IF(ISBLANK(Actuals!CS38),-250.13*Escalation!$B$93,Actuals!CS38)</f>
        <v>-281.687005930504</v>
      </c>
      <c r="CS220" s="13" t="n">
        <f aca="false">IF(ISBLANK(Actuals!CT38),-250.13*Escalation!$B$94,Actuals!CT38)</f>
        <v>-281.687005930504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-287.320746049114</v>
      </c>
      <c r="CX220" s="13" t="n">
        <f aca="false">IF(ISBLANK(Actuals!CY38),-250.13*Escalation!$B$99,Actuals!CY38)</f>
        <v>-287.320746049114</v>
      </c>
      <c r="CY220" s="13" t="n">
        <f aca="false">IF(ISBLANK(Actuals!CZ38),-250.13*Escalation!$B$100,Actuals!CZ38)</f>
        <v>-287.320746049114</v>
      </c>
      <c r="CZ220" s="13" t="n">
        <f aca="false">IF(ISBLANK(Actuals!DA38),-250.13*Escalation!$B$101,Actuals!DA38)</f>
        <v>-287.320746049114</v>
      </c>
      <c r="DA220" s="13" t="n">
        <f aca="false">IF(ISBLANK(Actuals!DB38),-250.13*Escalation!$B$102,Actuals!DB38)</f>
        <v>-287.320746049114</v>
      </c>
      <c r="DB220" s="13" t="n">
        <f aca="false">IF(ISBLANK(Actuals!DC38),-250.13*Escalation!$B$103,Actuals!DC38)</f>
        <v>-287.320746049114</v>
      </c>
      <c r="DC220" s="13" t="n">
        <f aca="false">IF(ISBLANK(Actuals!DD38),-250.13*Escalation!$B$104,Actuals!DD38)</f>
        <v>-287.320746049114</v>
      </c>
      <c r="DD220" s="13" t="n">
        <f aca="false">IF(ISBLANK(Actuals!DE38),-250.13*Escalation!$B$105,Actuals!DE38)</f>
        <v>-287.320746049114</v>
      </c>
      <c r="DE220" s="13" t="n">
        <f aca="false">IF(ISBLANK(Actuals!DF38),-250.13*Escalation!$B$106,Actuals!DF38)</f>
        <v>-287.320746049114</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-1750.91</v>
      </c>
      <c r="R221" s="13" t="n">
        <f aca="false">IF(ISBLANK(Actuals!S39),-1750.91*Escalation!$B$15,Actuals!S39)</f>
        <v>-1750.91</v>
      </c>
      <c r="S221" s="13" t="n">
        <f aca="false">IF(ISBLANK(Actuals!T39),-1750.91*Escalation!$B$16,Actuals!T39)</f>
        <v>-1750.91</v>
      </c>
      <c r="T221" s="13" t="n">
        <f aca="false">IF(ISBLANK(Actuals!U39),-1750.91*Escalation!$B$17,Actuals!U39)</f>
        <v>-1750.91</v>
      </c>
      <c r="U221" s="13" t="n">
        <f aca="false">IF(ISBLANK(Actuals!V39),-1750.91*Escalation!$B$18,Actuals!V39)</f>
        <v>-1750.91</v>
      </c>
      <c r="V221" s="13" t="n">
        <f aca="false">IF(ISBLANK(Actuals!W39),-1750.91*Escalation!$B$19,Actuals!W39)</f>
        <v>-1750.91</v>
      </c>
      <c r="W221" s="13" t="n">
        <f aca="false">IF(ISBLANK(Actuals!X39),-1750.91*Escalation!$B$20,Actuals!X39)</f>
        <v>-1750.91</v>
      </c>
      <c r="X221" s="13" t="n">
        <f aca="false">IF(ISBLANK(Actuals!Y39),-1750.91*Escalation!$B$21,Actuals!Y39)</f>
        <v>-1750.91</v>
      </c>
      <c r="Y221" s="13" t="n">
        <f aca="false">IF(ISBLANK(Actuals!Z39),-1750.91*Escalation!$B$22,Actuals!Z39)</f>
        <v>-1750.91</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-1785.9282</v>
      </c>
      <c r="AD221" s="13" t="n">
        <f aca="false">IF(ISBLANK(Actuals!AE39),-1750.91*Escalation!$B$27,Actuals!AE39)</f>
        <v>-1785.9282</v>
      </c>
      <c r="AE221" s="13" t="n">
        <f aca="false">IF(ISBLANK(Actuals!AF39),-1750.91*Escalation!$B$28,Actuals!AF39)</f>
        <v>-1785.9282</v>
      </c>
      <c r="AF221" s="13" t="n">
        <f aca="false">IF(ISBLANK(Actuals!AG39),-1750.91*Escalation!$B$29,Actuals!AG39)</f>
        <v>-1785.9282</v>
      </c>
      <c r="AG221" s="13" t="n">
        <f aca="false">IF(ISBLANK(Actuals!AH39),-1750.91*Escalation!$B$30,Actuals!AH39)</f>
        <v>-1785.9282</v>
      </c>
      <c r="AH221" s="13" t="n">
        <f aca="false">IF(ISBLANK(Actuals!AI39),-1750.91*Escalation!$B$31,Actuals!AI39)</f>
        <v>-1785.9282</v>
      </c>
      <c r="AI221" s="13" t="n">
        <f aca="false">IF(ISBLANK(Actuals!AJ39),-1750.91*Escalation!$B$32,Actuals!AJ39)</f>
        <v>-1785.9282</v>
      </c>
      <c r="AJ221" s="13" t="n">
        <f aca="false">IF(ISBLANK(Actuals!AK39),-1750.91*Escalation!$B$33,Actuals!AK39)</f>
        <v>-1785.9282</v>
      </c>
      <c r="AK221" s="13" t="n">
        <f aca="false">IF(ISBLANK(Actuals!AL39),-1750.91*Escalation!$B$34,Actuals!AL39)</f>
        <v>-1785.9282</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-1821.646764</v>
      </c>
      <c r="AP221" s="13" t="n">
        <f aca="false">IF(ISBLANK(Actuals!AQ39),-1750.91*Escalation!$B$39,Actuals!AQ39)</f>
        <v>-1821.646764</v>
      </c>
      <c r="AQ221" s="13" t="n">
        <f aca="false">IF(ISBLANK(Actuals!AR39),-1750.91*Escalation!$B$40,Actuals!AR39)</f>
        <v>-1821.646764</v>
      </c>
      <c r="AR221" s="13" t="n">
        <f aca="false">IF(ISBLANK(Actuals!AS39),-1750.91*Escalation!$B$41,Actuals!AS39)</f>
        <v>-1821.646764</v>
      </c>
      <c r="AS221" s="13" t="n">
        <f aca="false">IF(ISBLANK(Actuals!AT39),-1750.91*Escalation!$B$42,Actuals!AT39)</f>
        <v>-1821.646764</v>
      </c>
      <c r="AT221" s="13" t="n">
        <f aca="false">IF(ISBLANK(Actuals!AU39),-1750.91*Escalation!$B$43,Actuals!AU39)</f>
        <v>-1821.646764</v>
      </c>
      <c r="AU221" s="13" t="n">
        <f aca="false">IF(ISBLANK(Actuals!AV39),-1750.91*Escalation!$B$44,Actuals!AV39)</f>
        <v>-1821.646764</v>
      </c>
      <c r="AV221" s="13" t="n">
        <f aca="false">IF(ISBLANK(Actuals!AW39),-1750.91*Escalation!$B$45,Actuals!AW39)</f>
        <v>-1821.646764</v>
      </c>
      <c r="AW221" s="13" t="n">
        <f aca="false">IF(ISBLANK(Actuals!AX39),-1750.91*Escalation!$B$46,Actuals!AX39)</f>
        <v>-1821.646764</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-1858.07969928</v>
      </c>
      <c r="BB221" s="13" t="n">
        <f aca="false">IF(ISBLANK(Actuals!BC39),-1750.91*Escalation!$B$51,Actuals!BC39)</f>
        <v>-1858.07969928</v>
      </c>
      <c r="BC221" s="13" t="n">
        <f aca="false">IF(ISBLANK(Actuals!BD39),-1750.91*Escalation!$B$52,Actuals!BD39)</f>
        <v>-1858.07969928</v>
      </c>
      <c r="BD221" s="13" t="n">
        <f aca="false">IF(ISBLANK(Actuals!BE39),-1750.91*Escalation!$B$53,Actuals!BE39)</f>
        <v>-1858.07969928</v>
      </c>
      <c r="BE221" s="13" t="n">
        <f aca="false">IF(ISBLANK(Actuals!BF39),-1750.91*Escalation!$B$54,Actuals!BF39)</f>
        <v>-1858.07969928</v>
      </c>
      <c r="BF221" s="13" t="n">
        <f aca="false">IF(ISBLANK(Actuals!BG39),-1750.91*Escalation!$B$55,Actuals!BG39)</f>
        <v>-1858.07969928</v>
      </c>
      <c r="BG221" s="13" t="n">
        <f aca="false">IF(ISBLANK(Actuals!BH39),-1750.91*Escalation!$B$56,Actuals!BH39)</f>
        <v>-1858.07969928</v>
      </c>
      <c r="BH221" s="13" t="n">
        <f aca="false">IF(ISBLANK(Actuals!BI39),-1750.91*Escalation!$B$57,Actuals!BI39)</f>
        <v>-1858.07969928</v>
      </c>
      <c r="BI221" s="13" t="n">
        <f aca="false">IF(ISBLANK(Actuals!BJ39),-1750.91*Escalation!$B$58,Actuals!BJ39)</f>
        <v>-1858.07969928</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-1895.2412932656</v>
      </c>
      <c r="BN221" s="13" t="n">
        <f aca="false">IF(ISBLANK(Actuals!BO39),-1750.91*Escalation!$B$63,Actuals!BO39)</f>
        <v>-1895.2412932656</v>
      </c>
      <c r="BO221" s="13" t="n">
        <f aca="false">IF(ISBLANK(Actuals!BP39),-1750.91*Escalation!$B$64,Actuals!BP39)</f>
        <v>-1895.2412932656</v>
      </c>
      <c r="BP221" s="13" t="n">
        <f aca="false">IF(ISBLANK(Actuals!BQ39),-1750.91*Escalation!$B$65,Actuals!BQ39)</f>
        <v>-1895.2412932656</v>
      </c>
      <c r="BQ221" s="13" t="n">
        <f aca="false">IF(ISBLANK(Actuals!BR39),-1750.91*Escalation!$B$66,Actuals!BR39)</f>
        <v>-1895.2412932656</v>
      </c>
      <c r="BR221" s="13" t="n">
        <f aca="false">IF(ISBLANK(Actuals!BS39),-1750.91*Escalation!$B$67,Actuals!BS39)</f>
        <v>-1895.2412932656</v>
      </c>
      <c r="BS221" s="13" t="n">
        <f aca="false">IF(ISBLANK(Actuals!BT39),-1750.91*Escalation!$B$68,Actuals!BT39)</f>
        <v>-1895.2412932656</v>
      </c>
      <c r="BT221" s="13" t="n">
        <f aca="false">IF(ISBLANK(Actuals!BU39),-1750.91*Escalation!$B$69,Actuals!BU39)</f>
        <v>-1895.2412932656</v>
      </c>
      <c r="BU221" s="13" t="n">
        <f aca="false">IF(ISBLANK(Actuals!BV39),-1750.91*Escalation!$B$70,Actuals!BV39)</f>
        <v>-1895.2412932656</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-1933.14611913091</v>
      </c>
      <c r="BZ221" s="13" t="n">
        <f aca="false">IF(ISBLANK(Actuals!CA39),-1750.91*Escalation!$B$75,Actuals!CA39)</f>
        <v>-1933.14611913091</v>
      </c>
      <c r="CA221" s="13" t="n">
        <f aca="false">IF(ISBLANK(Actuals!CB39),-1750.91*Escalation!$B$76,Actuals!CB39)</f>
        <v>-1933.14611913091</v>
      </c>
      <c r="CB221" s="13" t="n">
        <f aca="false">IF(ISBLANK(Actuals!CC39),-1750.91*Escalation!$B$77,Actuals!CC39)</f>
        <v>-1933.14611913091</v>
      </c>
      <c r="CC221" s="13" t="n">
        <f aca="false">IF(ISBLANK(Actuals!CD39),-1750.91*Escalation!$B$78,Actuals!CD39)</f>
        <v>-1933.14611913091</v>
      </c>
      <c r="CD221" s="13" t="n">
        <f aca="false">IF(ISBLANK(Actuals!CE39),-1750.91*Escalation!$B$79,Actuals!CE39)</f>
        <v>-1933.14611913091</v>
      </c>
      <c r="CE221" s="13" t="n">
        <f aca="false">IF(ISBLANK(Actuals!CF39),-1750.91*Escalation!$B$80,Actuals!CF39)</f>
        <v>-1933.14611913091</v>
      </c>
      <c r="CF221" s="13" t="n">
        <f aca="false">IF(ISBLANK(Actuals!CG39),-1750.91*Escalation!$B$81,Actuals!CG39)</f>
        <v>-1933.14611913091</v>
      </c>
      <c r="CG221" s="13" t="n">
        <f aca="false">IF(ISBLANK(Actuals!CH39),-1750.91*Escalation!$B$82,Actuals!CH39)</f>
        <v>-1933.14611913091</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-1971.80904151353</v>
      </c>
      <c r="CL221" s="13" t="n">
        <f aca="false">IF(ISBLANK(Actuals!CM39),-1750.91*Escalation!$B$87,Actuals!CM39)</f>
        <v>-1971.80904151353</v>
      </c>
      <c r="CM221" s="13" t="n">
        <f aca="false">IF(ISBLANK(Actuals!CN39),-1750.91*Escalation!$B$88,Actuals!CN39)</f>
        <v>-1971.80904151353</v>
      </c>
      <c r="CN221" s="13" t="n">
        <f aca="false">IF(ISBLANK(Actuals!CO39),-1750.91*Escalation!$B$89,Actuals!CO39)</f>
        <v>-1971.80904151353</v>
      </c>
      <c r="CO221" s="13" t="n">
        <f aca="false">IF(ISBLANK(Actuals!CP39),-1750.91*Escalation!$B$90,Actuals!CP39)</f>
        <v>-1971.80904151353</v>
      </c>
      <c r="CP221" s="13" t="n">
        <f aca="false">IF(ISBLANK(Actuals!CQ39),-1750.91*Escalation!$B$91,Actuals!CQ39)</f>
        <v>-1971.80904151353</v>
      </c>
      <c r="CQ221" s="13" t="n">
        <f aca="false">IF(ISBLANK(Actuals!CR39),-1750.91*Escalation!$B$92,Actuals!CR39)</f>
        <v>-1971.80904151353</v>
      </c>
      <c r="CR221" s="13" t="n">
        <f aca="false">IF(ISBLANK(Actuals!CS39),-1750.91*Escalation!$B$93,Actuals!CS39)</f>
        <v>-1971.80904151353</v>
      </c>
      <c r="CS221" s="13" t="n">
        <f aca="false">IF(ISBLANK(Actuals!CT39),-1750.91*Escalation!$B$94,Actuals!CT39)</f>
        <v>-1971.80904151353</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-2011.2452223438</v>
      </c>
      <c r="CX221" s="13" t="n">
        <f aca="false">IF(ISBLANK(Actuals!CY39),-1750.91*Escalation!$B$99,Actuals!CY39)</f>
        <v>-2011.2452223438</v>
      </c>
      <c r="CY221" s="13" t="n">
        <f aca="false">IF(ISBLANK(Actuals!CZ39),-1750.91*Escalation!$B$100,Actuals!CZ39)</f>
        <v>-2011.2452223438</v>
      </c>
      <c r="CZ221" s="13" t="n">
        <f aca="false">IF(ISBLANK(Actuals!DA39),-1750.91*Escalation!$B$101,Actuals!DA39)</f>
        <v>-2011.2452223438</v>
      </c>
      <c r="DA221" s="13" t="n">
        <f aca="false">IF(ISBLANK(Actuals!DB39),-1750.91*Escalation!$B$102,Actuals!DB39)</f>
        <v>-2011.2452223438</v>
      </c>
      <c r="DB221" s="13" t="n">
        <f aca="false">IF(ISBLANK(Actuals!DC39),-1750.91*Escalation!$B$103,Actuals!DC39)</f>
        <v>-2011.2452223438</v>
      </c>
      <c r="DC221" s="13" t="n">
        <f aca="false">IF(ISBLANK(Actuals!DD39),-1750.91*Escalation!$B$104,Actuals!DD39)</f>
        <v>-2011.2452223438</v>
      </c>
      <c r="DD221" s="13" t="n">
        <f aca="false">IF(ISBLANK(Actuals!DE39),-1750.91*Escalation!$B$105,Actuals!DE39)</f>
        <v>-2011.2452223438</v>
      </c>
      <c r="DE221" s="13" t="n">
        <f aca="false">IF(ISBLANK(Actuals!DF39),-1750.91*Escalation!$B$106,Actuals!DF39)</f>
        <v>-2011.2452223438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-1988.67</v>
      </c>
      <c r="R222" s="13" t="n">
        <f aca="false">IF(ISBLANK(Actuals!S40),-1988.67*Escalation!$B$15,Actuals!S40)</f>
        <v>-1988.67</v>
      </c>
      <c r="S222" s="13" t="n">
        <f aca="false">IF(ISBLANK(Actuals!T40),-1988.67*Escalation!$B$16,Actuals!T40)</f>
        <v>-1988.67</v>
      </c>
      <c r="T222" s="13" t="n">
        <f aca="false">IF(ISBLANK(Actuals!U40),-1988.67*Escalation!$B$17,Actuals!U40)</f>
        <v>-1988.67</v>
      </c>
      <c r="U222" s="13" t="n">
        <f aca="false">IF(ISBLANK(Actuals!V40),-1988.67*Escalation!$B$18,Actuals!V40)</f>
        <v>-1988.67</v>
      </c>
      <c r="V222" s="13" t="n">
        <f aca="false">IF(ISBLANK(Actuals!W40),-1988.67*Escalation!$B$19,Actuals!W40)</f>
        <v>-1988.67</v>
      </c>
      <c r="W222" s="13" t="n">
        <f aca="false">IF(ISBLANK(Actuals!X40),-1988.67*Escalation!$B$20,Actuals!X40)</f>
        <v>-1988.67</v>
      </c>
      <c r="X222" s="13" t="n">
        <f aca="false">IF(ISBLANK(Actuals!Y40),-1988.67*Escalation!$B$21,Actuals!Y40)</f>
        <v>-1988.67</v>
      </c>
      <c r="Y222" s="13" t="n">
        <f aca="false">IF(ISBLANK(Actuals!Z40),-1988.67*Escalation!$B$22,Actuals!Z40)</f>
        <v>-1988.67</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-2028.4434</v>
      </c>
      <c r="AD222" s="13" t="n">
        <f aca="false">IF(ISBLANK(Actuals!AE40),-1988.67*Escalation!$B$27,Actuals!AE40)</f>
        <v>-2028.4434</v>
      </c>
      <c r="AE222" s="13" t="n">
        <f aca="false">IF(ISBLANK(Actuals!AF40),-1988.67*Escalation!$B$28,Actuals!AF40)</f>
        <v>-2028.4434</v>
      </c>
      <c r="AF222" s="13" t="n">
        <f aca="false">IF(ISBLANK(Actuals!AG40),-1988.67*Escalation!$B$29,Actuals!AG40)</f>
        <v>-2028.4434</v>
      </c>
      <c r="AG222" s="13" t="n">
        <f aca="false">IF(ISBLANK(Actuals!AH40),-1988.67*Escalation!$B$30,Actuals!AH40)</f>
        <v>-2028.4434</v>
      </c>
      <c r="AH222" s="13" t="n">
        <f aca="false">IF(ISBLANK(Actuals!AI40),-1988.67*Escalation!$B$31,Actuals!AI40)</f>
        <v>-2028.4434</v>
      </c>
      <c r="AI222" s="13" t="n">
        <f aca="false">IF(ISBLANK(Actuals!AJ40),-1988.67*Escalation!$B$32,Actuals!AJ40)</f>
        <v>-2028.4434</v>
      </c>
      <c r="AJ222" s="13" t="n">
        <f aca="false">IF(ISBLANK(Actuals!AK40),-1988.67*Escalation!$B$33,Actuals!AK40)</f>
        <v>-2028.4434</v>
      </c>
      <c r="AK222" s="13" t="n">
        <f aca="false">IF(ISBLANK(Actuals!AL40),-1988.67*Escalation!$B$34,Actuals!AL40)</f>
        <v>-2028.4434</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-2069.012268</v>
      </c>
      <c r="AP222" s="13" t="n">
        <f aca="false">IF(ISBLANK(Actuals!AQ40),-1988.67*Escalation!$B$39,Actuals!AQ40)</f>
        <v>-2069.012268</v>
      </c>
      <c r="AQ222" s="13" t="n">
        <f aca="false">IF(ISBLANK(Actuals!AR40),-1988.67*Escalation!$B$40,Actuals!AR40)</f>
        <v>-2069.012268</v>
      </c>
      <c r="AR222" s="13" t="n">
        <f aca="false">IF(ISBLANK(Actuals!AS40),-1988.67*Escalation!$B$41,Actuals!AS40)</f>
        <v>-2069.012268</v>
      </c>
      <c r="AS222" s="13" t="n">
        <f aca="false">IF(ISBLANK(Actuals!AT40),-1988.67*Escalation!$B$42,Actuals!AT40)</f>
        <v>-2069.012268</v>
      </c>
      <c r="AT222" s="13" t="n">
        <f aca="false">IF(ISBLANK(Actuals!AU40),-1988.67*Escalation!$B$43,Actuals!AU40)</f>
        <v>-2069.012268</v>
      </c>
      <c r="AU222" s="13" t="n">
        <f aca="false">IF(ISBLANK(Actuals!AV40),-1988.67*Escalation!$B$44,Actuals!AV40)</f>
        <v>-2069.012268</v>
      </c>
      <c r="AV222" s="13" t="n">
        <f aca="false">IF(ISBLANK(Actuals!AW40),-1988.67*Escalation!$B$45,Actuals!AW40)</f>
        <v>-2069.012268</v>
      </c>
      <c r="AW222" s="13" t="n">
        <f aca="false">IF(ISBLANK(Actuals!AX40),-1988.67*Escalation!$B$46,Actuals!AX40)</f>
        <v>-2069.012268</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-2110.39251336</v>
      </c>
      <c r="BB222" s="13" t="n">
        <f aca="false">IF(ISBLANK(Actuals!BC40),-1988.67*Escalation!$B$51,Actuals!BC40)</f>
        <v>-2110.39251336</v>
      </c>
      <c r="BC222" s="13" t="n">
        <f aca="false">IF(ISBLANK(Actuals!BD40),-1988.67*Escalation!$B$52,Actuals!BD40)</f>
        <v>-2110.39251336</v>
      </c>
      <c r="BD222" s="13" t="n">
        <f aca="false">IF(ISBLANK(Actuals!BE40),-1988.67*Escalation!$B$53,Actuals!BE40)</f>
        <v>-2110.39251336</v>
      </c>
      <c r="BE222" s="13" t="n">
        <f aca="false">IF(ISBLANK(Actuals!BF40),-1988.67*Escalation!$B$54,Actuals!BF40)</f>
        <v>-2110.39251336</v>
      </c>
      <c r="BF222" s="13" t="n">
        <f aca="false">IF(ISBLANK(Actuals!BG40),-1988.67*Escalation!$B$55,Actuals!BG40)</f>
        <v>-2110.39251336</v>
      </c>
      <c r="BG222" s="13" t="n">
        <f aca="false">IF(ISBLANK(Actuals!BH40),-1988.67*Escalation!$B$56,Actuals!BH40)</f>
        <v>-2110.39251336</v>
      </c>
      <c r="BH222" s="13" t="n">
        <f aca="false">IF(ISBLANK(Actuals!BI40),-1988.67*Escalation!$B$57,Actuals!BI40)</f>
        <v>-2110.39251336</v>
      </c>
      <c r="BI222" s="13" t="n">
        <f aca="false">IF(ISBLANK(Actuals!BJ40),-1988.67*Escalation!$B$58,Actuals!BJ40)</f>
        <v>-2110.39251336</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-2152.6003636272</v>
      </c>
      <c r="BN222" s="13" t="n">
        <f aca="false">IF(ISBLANK(Actuals!BO40),-1988.67*Escalation!$B$63,Actuals!BO40)</f>
        <v>-2152.6003636272</v>
      </c>
      <c r="BO222" s="13" t="n">
        <f aca="false">IF(ISBLANK(Actuals!BP40),-1988.67*Escalation!$B$64,Actuals!BP40)</f>
        <v>-2152.6003636272</v>
      </c>
      <c r="BP222" s="13" t="n">
        <f aca="false">IF(ISBLANK(Actuals!BQ40),-1988.67*Escalation!$B$65,Actuals!BQ40)</f>
        <v>-2152.6003636272</v>
      </c>
      <c r="BQ222" s="13" t="n">
        <f aca="false">IF(ISBLANK(Actuals!BR40),-1988.67*Escalation!$B$66,Actuals!BR40)</f>
        <v>-2152.6003636272</v>
      </c>
      <c r="BR222" s="13" t="n">
        <f aca="false">IF(ISBLANK(Actuals!BS40),-1988.67*Escalation!$B$67,Actuals!BS40)</f>
        <v>-2152.6003636272</v>
      </c>
      <c r="BS222" s="13" t="n">
        <f aca="false">IF(ISBLANK(Actuals!BT40),-1988.67*Escalation!$B$68,Actuals!BT40)</f>
        <v>-2152.6003636272</v>
      </c>
      <c r="BT222" s="13" t="n">
        <f aca="false">IF(ISBLANK(Actuals!BU40),-1988.67*Escalation!$B$69,Actuals!BU40)</f>
        <v>-2152.6003636272</v>
      </c>
      <c r="BU222" s="13" t="n">
        <f aca="false">IF(ISBLANK(Actuals!BV40),-1988.67*Escalation!$B$70,Actuals!BV40)</f>
        <v>-2152.6003636272</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-2195.65237089974</v>
      </c>
      <c r="BZ222" s="13" t="n">
        <f aca="false">IF(ISBLANK(Actuals!CA40),-1988.67*Escalation!$B$75,Actuals!CA40)</f>
        <v>-2195.65237089974</v>
      </c>
      <c r="CA222" s="13" t="n">
        <f aca="false">IF(ISBLANK(Actuals!CB40),-1988.67*Escalation!$B$76,Actuals!CB40)</f>
        <v>-2195.65237089974</v>
      </c>
      <c r="CB222" s="13" t="n">
        <f aca="false">IF(ISBLANK(Actuals!CC40),-1988.67*Escalation!$B$77,Actuals!CC40)</f>
        <v>-2195.65237089974</v>
      </c>
      <c r="CC222" s="13" t="n">
        <f aca="false">IF(ISBLANK(Actuals!CD40),-1988.67*Escalation!$B$78,Actuals!CD40)</f>
        <v>-2195.65237089974</v>
      </c>
      <c r="CD222" s="13" t="n">
        <f aca="false">IF(ISBLANK(Actuals!CE40),-1988.67*Escalation!$B$79,Actuals!CE40)</f>
        <v>-2195.65237089974</v>
      </c>
      <c r="CE222" s="13" t="n">
        <f aca="false">IF(ISBLANK(Actuals!CF40),-1988.67*Escalation!$B$80,Actuals!CF40)</f>
        <v>-2195.65237089974</v>
      </c>
      <c r="CF222" s="13" t="n">
        <f aca="false">IF(ISBLANK(Actuals!CG40),-1988.67*Escalation!$B$81,Actuals!CG40)</f>
        <v>-2195.65237089974</v>
      </c>
      <c r="CG222" s="13" t="n">
        <f aca="false">IF(ISBLANK(Actuals!CH40),-1988.67*Escalation!$B$82,Actuals!CH40)</f>
        <v>-2195.65237089974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-2239.56541831774</v>
      </c>
      <c r="CL222" s="13" t="n">
        <f aca="false">IF(ISBLANK(Actuals!CM40),-1988.67*Escalation!$B$87,Actuals!CM40)</f>
        <v>-2239.56541831774</v>
      </c>
      <c r="CM222" s="13" t="n">
        <f aca="false">IF(ISBLANK(Actuals!CN40),-1988.67*Escalation!$B$88,Actuals!CN40)</f>
        <v>-2239.56541831774</v>
      </c>
      <c r="CN222" s="13" t="n">
        <f aca="false">IF(ISBLANK(Actuals!CO40),-1988.67*Escalation!$B$89,Actuals!CO40)</f>
        <v>-2239.56541831774</v>
      </c>
      <c r="CO222" s="13" t="n">
        <f aca="false">IF(ISBLANK(Actuals!CP40),-1988.67*Escalation!$B$90,Actuals!CP40)</f>
        <v>-2239.56541831774</v>
      </c>
      <c r="CP222" s="13" t="n">
        <f aca="false">IF(ISBLANK(Actuals!CQ40),-1988.67*Escalation!$B$91,Actuals!CQ40)</f>
        <v>-2239.56541831774</v>
      </c>
      <c r="CQ222" s="13" t="n">
        <f aca="false">IF(ISBLANK(Actuals!CR40),-1988.67*Escalation!$B$92,Actuals!CR40)</f>
        <v>-2239.56541831774</v>
      </c>
      <c r="CR222" s="13" t="n">
        <f aca="false">IF(ISBLANK(Actuals!CS40),-1988.67*Escalation!$B$93,Actuals!CS40)</f>
        <v>-2239.56541831774</v>
      </c>
      <c r="CS222" s="13" t="n">
        <f aca="false">IF(ISBLANK(Actuals!CT40),-1988.67*Escalation!$B$94,Actuals!CT40)</f>
        <v>-2239.56541831774</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-2284.35672668409</v>
      </c>
      <c r="CX222" s="13" t="n">
        <f aca="false">IF(ISBLANK(Actuals!CY40),-1988.67*Escalation!$B$99,Actuals!CY40)</f>
        <v>-2284.35672668409</v>
      </c>
      <c r="CY222" s="13" t="n">
        <f aca="false">IF(ISBLANK(Actuals!CZ40),-1988.67*Escalation!$B$100,Actuals!CZ40)</f>
        <v>-2284.35672668409</v>
      </c>
      <c r="CZ222" s="13" t="n">
        <f aca="false">IF(ISBLANK(Actuals!DA40),-1988.67*Escalation!$B$101,Actuals!DA40)</f>
        <v>-2284.35672668409</v>
      </c>
      <c r="DA222" s="13" t="n">
        <f aca="false">IF(ISBLANK(Actuals!DB40),-1988.67*Escalation!$B$102,Actuals!DB40)</f>
        <v>-2284.35672668409</v>
      </c>
      <c r="DB222" s="13" t="n">
        <f aca="false">IF(ISBLANK(Actuals!DC40),-1988.67*Escalation!$B$103,Actuals!DC40)</f>
        <v>-2284.35672668409</v>
      </c>
      <c r="DC222" s="13" t="n">
        <f aca="false">IF(ISBLANK(Actuals!DD40),-1988.67*Escalation!$B$104,Actuals!DD40)</f>
        <v>-2284.35672668409</v>
      </c>
      <c r="DD222" s="13" t="n">
        <f aca="false">IF(ISBLANK(Actuals!DE40),-1988.67*Escalation!$B$105,Actuals!DE40)</f>
        <v>-2284.35672668409</v>
      </c>
      <c r="DE222" s="13" t="n">
        <f aca="false">IF(ISBLANK(Actuals!DF40),-1988.67*Escalation!$B$106,Actuals!DF40)</f>
        <v>-2284.35672668409</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-7500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-12000</v>
      </c>
      <c r="N223" s="13" t="n">
        <f aca="false">IF(ISBLANK(Actuals!O41),-(SUMPRODUCT((Personnel!$O$9:$O$100="GC")*(Personnel!$G$9:$G$100="Yes")*(Personnel!$E$9:$E$100&gt;=2)*(Personnel!$Q$9:$Q$100&lt;&gt;"No")*(Personnel!$E$9:$E$100=10)*Personnel!$C$9:$C$100)*Staffing!$B$21+Staffing!N84),Actuals!O41)</f>
        <v>-0</v>
      </c>
      <c r="O223" s="13" t="n">
        <f aca="false">IF(ISBLANK(Actuals!P41),-(SUMPRODUCT((Personnel!$O$9:$O$100="GC")*(Personnel!$G$9:$G$100="Yes")*(Personnel!$E$9:$E$100&gt;=2)*(Personnel!$Q$9:$Q$100&lt;&gt;"No")*(Personnel!$E$9:$E$100=11)*Personnel!$C$9:$C$100)*Staffing!$B$21+Staffing!O84),Actuals!P41)</f>
        <v>-9375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-43125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-22307.6923076923</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-21923.0769230769</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-55</v>
      </c>
      <c r="R224" s="13" t="n">
        <f aca="false">IF(ISBLANK(Actuals!S42),-55*Escalation!$B$15,Actuals!S42)</f>
        <v>-55</v>
      </c>
      <c r="S224" s="13" t="n">
        <f aca="false">IF(ISBLANK(Actuals!T42),-55*Escalation!$B$16,Actuals!T42)</f>
        <v>-55</v>
      </c>
      <c r="T224" s="13" t="n">
        <f aca="false">IF(ISBLANK(Actuals!U42),-55*Escalation!$B$17,Actuals!U42)</f>
        <v>-55</v>
      </c>
      <c r="U224" s="13" t="n">
        <f aca="false">IF(ISBLANK(Actuals!V42),-55*Escalation!$B$18,Actuals!V42)</f>
        <v>-55</v>
      </c>
      <c r="V224" s="13" t="n">
        <f aca="false">IF(ISBLANK(Actuals!W42),-55*Escalation!$B$19,Actuals!W42)</f>
        <v>-55</v>
      </c>
      <c r="W224" s="13" t="n">
        <f aca="false">IF(ISBLANK(Actuals!X42),-55*Escalation!$B$20,Actuals!X42)</f>
        <v>-55</v>
      </c>
      <c r="X224" s="13" t="n">
        <f aca="false">IF(ISBLANK(Actuals!Y42),-55*Escalation!$B$21,Actuals!Y42)</f>
        <v>-55</v>
      </c>
      <c r="Y224" s="13" t="n">
        <f aca="false">IF(ISBLANK(Actuals!Z42),-55*Escalation!$B$22,Actuals!Z42)</f>
        <v>-55</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-56.1</v>
      </c>
      <c r="AD224" s="13" t="n">
        <f aca="false">IF(ISBLANK(Actuals!AE42),-55*Escalation!$B$27,Actuals!AE42)</f>
        <v>-56.1</v>
      </c>
      <c r="AE224" s="13" t="n">
        <f aca="false">IF(ISBLANK(Actuals!AF42),-55*Escalation!$B$28,Actuals!AF42)</f>
        <v>-56.1</v>
      </c>
      <c r="AF224" s="13" t="n">
        <f aca="false">IF(ISBLANK(Actuals!AG42),-55*Escalation!$B$29,Actuals!AG42)</f>
        <v>-56.1</v>
      </c>
      <c r="AG224" s="13" t="n">
        <f aca="false">IF(ISBLANK(Actuals!AH42),-55*Escalation!$B$30,Actuals!AH42)</f>
        <v>-56.1</v>
      </c>
      <c r="AH224" s="13" t="n">
        <f aca="false">IF(ISBLANK(Actuals!AI42),-55*Escalation!$B$31,Actuals!AI42)</f>
        <v>-56.1</v>
      </c>
      <c r="AI224" s="13" t="n">
        <f aca="false">IF(ISBLANK(Actuals!AJ42),-55*Escalation!$B$32,Actuals!AJ42)</f>
        <v>-56.1</v>
      </c>
      <c r="AJ224" s="13" t="n">
        <f aca="false">IF(ISBLANK(Actuals!AK42),-55*Escalation!$B$33,Actuals!AK42)</f>
        <v>-56.1</v>
      </c>
      <c r="AK224" s="13" t="n">
        <f aca="false">IF(ISBLANK(Actuals!AL42),-55*Escalation!$B$34,Actuals!AL42)</f>
        <v>-56.1</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-57.222</v>
      </c>
      <c r="AP224" s="13" t="n">
        <f aca="false">IF(ISBLANK(Actuals!AQ42),-55*Escalation!$B$39,Actuals!AQ42)</f>
        <v>-57.222</v>
      </c>
      <c r="AQ224" s="13" t="n">
        <f aca="false">IF(ISBLANK(Actuals!AR42),-55*Escalation!$B$40,Actuals!AR42)</f>
        <v>-57.222</v>
      </c>
      <c r="AR224" s="13" t="n">
        <f aca="false">IF(ISBLANK(Actuals!AS42),-55*Escalation!$B$41,Actuals!AS42)</f>
        <v>-57.222</v>
      </c>
      <c r="AS224" s="13" t="n">
        <f aca="false">IF(ISBLANK(Actuals!AT42),-55*Escalation!$B$42,Actuals!AT42)</f>
        <v>-57.222</v>
      </c>
      <c r="AT224" s="13" t="n">
        <f aca="false">IF(ISBLANK(Actuals!AU42),-55*Escalation!$B$43,Actuals!AU42)</f>
        <v>-57.222</v>
      </c>
      <c r="AU224" s="13" t="n">
        <f aca="false">IF(ISBLANK(Actuals!AV42),-55*Escalation!$B$44,Actuals!AV42)</f>
        <v>-57.222</v>
      </c>
      <c r="AV224" s="13" t="n">
        <f aca="false">IF(ISBLANK(Actuals!AW42),-55*Escalation!$B$45,Actuals!AW42)</f>
        <v>-57.222</v>
      </c>
      <c r="AW224" s="13" t="n">
        <f aca="false">IF(ISBLANK(Actuals!AX42),-55*Escalation!$B$46,Actuals!AX42)</f>
        <v>-57.222</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-58.36644</v>
      </c>
      <c r="BB224" s="13" t="n">
        <f aca="false">IF(ISBLANK(Actuals!BC42),-55*Escalation!$B$51,Actuals!BC42)</f>
        <v>-58.36644</v>
      </c>
      <c r="BC224" s="13" t="n">
        <f aca="false">IF(ISBLANK(Actuals!BD42),-55*Escalation!$B$52,Actuals!BD42)</f>
        <v>-58.36644</v>
      </c>
      <c r="BD224" s="13" t="n">
        <f aca="false">IF(ISBLANK(Actuals!BE42),-55*Escalation!$B$53,Actuals!BE42)</f>
        <v>-58.36644</v>
      </c>
      <c r="BE224" s="13" t="n">
        <f aca="false">IF(ISBLANK(Actuals!BF42),-55*Escalation!$B$54,Actuals!BF42)</f>
        <v>-58.36644</v>
      </c>
      <c r="BF224" s="13" t="n">
        <f aca="false">IF(ISBLANK(Actuals!BG42),-55*Escalation!$B$55,Actuals!BG42)</f>
        <v>-58.36644</v>
      </c>
      <c r="BG224" s="13" t="n">
        <f aca="false">IF(ISBLANK(Actuals!BH42),-55*Escalation!$B$56,Actuals!BH42)</f>
        <v>-58.36644</v>
      </c>
      <c r="BH224" s="13" t="n">
        <f aca="false">IF(ISBLANK(Actuals!BI42),-55*Escalation!$B$57,Actuals!BI42)</f>
        <v>-58.36644</v>
      </c>
      <c r="BI224" s="13" t="n">
        <f aca="false">IF(ISBLANK(Actuals!BJ42),-55*Escalation!$B$58,Actuals!BJ42)</f>
        <v>-58.36644</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-59.5337688</v>
      </c>
      <c r="BN224" s="13" t="n">
        <f aca="false">IF(ISBLANK(Actuals!BO42),-55*Escalation!$B$63,Actuals!BO42)</f>
        <v>-59.5337688</v>
      </c>
      <c r="BO224" s="13" t="n">
        <f aca="false">IF(ISBLANK(Actuals!BP42),-55*Escalation!$B$64,Actuals!BP42)</f>
        <v>-59.5337688</v>
      </c>
      <c r="BP224" s="13" t="n">
        <f aca="false">IF(ISBLANK(Actuals!BQ42),-55*Escalation!$B$65,Actuals!BQ42)</f>
        <v>-59.5337688</v>
      </c>
      <c r="BQ224" s="13" t="n">
        <f aca="false">IF(ISBLANK(Actuals!BR42),-55*Escalation!$B$66,Actuals!BR42)</f>
        <v>-59.5337688</v>
      </c>
      <c r="BR224" s="13" t="n">
        <f aca="false">IF(ISBLANK(Actuals!BS42),-55*Escalation!$B$67,Actuals!BS42)</f>
        <v>-59.5337688</v>
      </c>
      <c r="BS224" s="13" t="n">
        <f aca="false">IF(ISBLANK(Actuals!BT42),-55*Escalation!$B$68,Actuals!BT42)</f>
        <v>-59.5337688</v>
      </c>
      <c r="BT224" s="13" t="n">
        <f aca="false">IF(ISBLANK(Actuals!BU42),-55*Escalation!$B$69,Actuals!BU42)</f>
        <v>-59.5337688</v>
      </c>
      <c r="BU224" s="13" t="n">
        <f aca="false">IF(ISBLANK(Actuals!BV42),-55*Escalation!$B$70,Actuals!BV42)</f>
        <v>-59.5337688</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-60.724444176</v>
      </c>
      <c r="BZ224" s="13" t="n">
        <f aca="false">IF(ISBLANK(Actuals!CA42),-55*Escalation!$B$75,Actuals!CA42)</f>
        <v>-60.724444176</v>
      </c>
      <c r="CA224" s="13" t="n">
        <f aca="false">IF(ISBLANK(Actuals!CB42),-55*Escalation!$B$76,Actuals!CB42)</f>
        <v>-60.724444176</v>
      </c>
      <c r="CB224" s="13" t="n">
        <f aca="false">IF(ISBLANK(Actuals!CC42),-55*Escalation!$B$77,Actuals!CC42)</f>
        <v>-60.724444176</v>
      </c>
      <c r="CC224" s="13" t="n">
        <f aca="false">IF(ISBLANK(Actuals!CD42),-55*Escalation!$B$78,Actuals!CD42)</f>
        <v>-60.724444176</v>
      </c>
      <c r="CD224" s="13" t="n">
        <f aca="false">IF(ISBLANK(Actuals!CE42),-55*Escalation!$B$79,Actuals!CE42)</f>
        <v>-60.724444176</v>
      </c>
      <c r="CE224" s="13" t="n">
        <f aca="false">IF(ISBLANK(Actuals!CF42),-55*Escalation!$B$80,Actuals!CF42)</f>
        <v>-60.724444176</v>
      </c>
      <c r="CF224" s="13" t="n">
        <f aca="false">IF(ISBLANK(Actuals!CG42),-55*Escalation!$B$81,Actuals!CG42)</f>
        <v>-60.724444176</v>
      </c>
      <c r="CG224" s="13" t="n">
        <f aca="false">IF(ISBLANK(Actuals!CH42),-55*Escalation!$B$82,Actuals!CH42)</f>
        <v>-60.724444176</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-61.93893305952</v>
      </c>
      <c r="CL224" s="13" t="n">
        <f aca="false">IF(ISBLANK(Actuals!CM42),-55*Escalation!$B$87,Actuals!CM42)</f>
        <v>-61.93893305952</v>
      </c>
      <c r="CM224" s="13" t="n">
        <f aca="false">IF(ISBLANK(Actuals!CN42),-55*Escalation!$B$88,Actuals!CN42)</f>
        <v>-61.93893305952</v>
      </c>
      <c r="CN224" s="13" t="n">
        <f aca="false">IF(ISBLANK(Actuals!CO42),-55*Escalation!$B$89,Actuals!CO42)</f>
        <v>-61.93893305952</v>
      </c>
      <c r="CO224" s="13" t="n">
        <f aca="false">IF(ISBLANK(Actuals!CP42),-55*Escalation!$B$90,Actuals!CP42)</f>
        <v>-61.93893305952</v>
      </c>
      <c r="CP224" s="13" t="n">
        <f aca="false">IF(ISBLANK(Actuals!CQ42),-55*Escalation!$B$91,Actuals!CQ42)</f>
        <v>-61.93893305952</v>
      </c>
      <c r="CQ224" s="13" t="n">
        <f aca="false">IF(ISBLANK(Actuals!CR42),-55*Escalation!$B$92,Actuals!CR42)</f>
        <v>-61.93893305952</v>
      </c>
      <c r="CR224" s="13" t="n">
        <f aca="false">IF(ISBLANK(Actuals!CS42),-55*Escalation!$B$93,Actuals!CS42)</f>
        <v>-61.93893305952</v>
      </c>
      <c r="CS224" s="13" t="n">
        <f aca="false">IF(ISBLANK(Actuals!CT42),-55*Escalation!$B$94,Actuals!CT42)</f>
        <v>-61.93893305952</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-63.1777117207104</v>
      </c>
      <c r="CX224" s="13" t="n">
        <f aca="false">IF(ISBLANK(Actuals!CY42),-55*Escalation!$B$99,Actuals!CY42)</f>
        <v>-63.1777117207104</v>
      </c>
      <c r="CY224" s="13" t="n">
        <f aca="false">IF(ISBLANK(Actuals!CZ42),-55*Escalation!$B$100,Actuals!CZ42)</f>
        <v>-63.1777117207104</v>
      </c>
      <c r="CZ224" s="13" t="n">
        <f aca="false">IF(ISBLANK(Actuals!DA42),-55*Escalation!$B$101,Actuals!DA42)</f>
        <v>-63.1777117207104</v>
      </c>
      <c r="DA224" s="13" t="n">
        <f aca="false">IF(ISBLANK(Actuals!DB42),-55*Escalation!$B$102,Actuals!DB42)</f>
        <v>-63.1777117207104</v>
      </c>
      <c r="DB224" s="13" t="n">
        <f aca="false">IF(ISBLANK(Actuals!DC42),-55*Escalation!$B$103,Actuals!DC42)</f>
        <v>-63.1777117207104</v>
      </c>
      <c r="DC224" s="13" t="n">
        <f aca="false">IF(ISBLANK(Actuals!DD42),-55*Escalation!$B$104,Actuals!DD42)</f>
        <v>-63.1777117207104</v>
      </c>
      <c r="DD224" s="13" t="n">
        <f aca="false">IF(ISBLANK(Actuals!DE42),-55*Escalation!$B$105,Actuals!DE42)</f>
        <v>-63.1777117207104</v>
      </c>
      <c r="DE224" s="13" t="n">
        <f aca="false">IF(ISBLANK(Actuals!DF42),-55*Escalation!$B$106,Actuals!DF42)</f>
        <v>-63.1777117207104</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-550</v>
      </c>
      <c r="R226" s="21" t="n">
        <f aca="false">IF(ISBLANK(Actuals!S44),-550*Escalation!$B$15,Actuals!S44)</f>
        <v>-550</v>
      </c>
      <c r="S226" s="21" t="n">
        <f aca="false">IF(ISBLANK(Actuals!T44),-550*Escalation!$B$16,Actuals!T44)</f>
        <v>-550</v>
      </c>
      <c r="T226" s="21" t="n">
        <f aca="false">IF(ISBLANK(Actuals!U44),-550*Escalation!$B$17,Actuals!U44)</f>
        <v>-550</v>
      </c>
      <c r="U226" s="21" t="n">
        <f aca="false">IF(ISBLANK(Actuals!V44),-550*Escalation!$B$18,Actuals!V44)</f>
        <v>-550</v>
      </c>
      <c r="V226" s="21" t="n">
        <f aca="false">IF(ISBLANK(Actuals!W44),-550*Escalation!$B$19,Actuals!W44)</f>
        <v>-550</v>
      </c>
      <c r="W226" s="21" t="n">
        <f aca="false">IF(ISBLANK(Actuals!X44),-550*Escalation!$B$20,Actuals!X44)</f>
        <v>-550</v>
      </c>
      <c r="X226" s="21" t="n">
        <f aca="false">IF(ISBLANK(Actuals!Y44),-550*Escalation!$B$21,Actuals!Y44)</f>
        <v>-550</v>
      </c>
      <c r="Y226" s="21" t="n">
        <f aca="false">IF(ISBLANK(Actuals!Z44),-550*Escalation!$B$22,Actuals!Z44)</f>
        <v>-550</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-561</v>
      </c>
      <c r="AD226" s="21" t="n">
        <f aca="false">IF(ISBLANK(Actuals!AE44),-550*Escalation!$B$27,Actuals!AE44)</f>
        <v>-561</v>
      </c>
      <c r="AE226" s="21" t="n">
        <f aca="false">IF(ISBLANK(Actuals!AF44),-550*Escalation!$B$28,Actuals!AF44)</f>
        <v>-561</v>
      </c>
      <c r="AF226" s="21" t="n">
        <f aca="false">IF(ISBLANK(Actuals!AG44),-550*Escalation!$B$29,Actuals!AG44)</f>
        <v>-561</v>
      </c>
      <c r="AG226" s="21" t="n">
        <f aca="false">IF(ISBLANK(Actuals!AH44),-550*Escalation!$B$30,Actuals!AH44)</f>
        <v>-561</v>
      </c>
      <c r="AH226" s="21" t="n">
        <f aca="false">IF(ISBLANK(Actuals!AI44),-550*Escalation!$B$31,Actuals!AI44)</f>
        <v>-561</v>
      </c>
      <c r="AI226" s="21" t="n">
        <f aca="false">IF(ISBLANK(Actuals!AJ44),-550*Escalation!$B$32,Actuals!AJ44)</f>
        <v>-561</v>
      </c>
      <c r="AJ226" s="21" t="n">
        <f aca="false">IF(ISBLANK(Actuals!AK44),-550*Escalation!$B$33,Actuals!AK44)</f>
        <v>-561</v>
      </c>
      <c r="AK226" s="21" t="n">
        <f aca="false">IF(ISBLANK(Actuals!AL44),-550*Escalation!$B$34,Actuals!AL44)</f>
        <v>-561</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-572.22</v>
      </c>
      <c r="AP226" s="21" t="n">
        <f aca="false">IF(ISBLANK(Actuals!AQ44),-550*Escalation!$B$39,Actuals!AQ44)</f>
        <v>-572.22</v>
      </c>
      <c r="AQ226" s="21" t="n">
        <f aca="false">IF(ISBLANK(Actuals!AR44),-550*Escalation!$B$40,Actuals!AR44)</f>
        <v>-572.22</v>
      </c>
      <c r="AR226" s="21" t="n">
        <f aca="false">IF(ISBLANK(Actuals!AS44),-550*Escalation!$B$41,Actuals!AS44)</f>
        <v>-572.22</v>
      </c>
      <c r="AS226" s="21" t="n">
        <f aca="false">IF(ISBLANK(Actuals!AT44),-550*Escalation!$B$42,Actuals!AT44)</f>
        <v>-572.22</v>
      </c>
      <c r="AT226" s="21" t="n">
        <f aca="false">IF(ISBLANK(Actuals!AU44),-550*Escalation!$B$43,Actuals!AU44)</f>
        <v>-572.22</v>
      </c>
      <c r="AU226" s="21" t="n">
        <f aca="false">IF(ISBLANK(Actuals!AV44),-550*Escalation!$B$44,Actuals!AV44)</f>
        <v>-572.22</v>
      </c>
      <c r="AV226" s="21" t="n">
        <f aca="false">IF(ISBLANK(Actuals!AW44),-550*Escalation!$B$45,Actuals!AW44)</f>
        <v>-572.22</v>
      </c>
      <c r="AW226" s="21" t="n">
        <f aca="false">IF(ISBLANK(Actuals!AX44),-550*Escalation!$B$46,Actuals!AX44)</f>
        <v>-572.22</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-583.6644</v>
      </c>
      <c r="BB226" s="21" t="n">
        <f aca="false">IF(ISBLANK(Actuals!BC44),-550*Escalation!$B$51,Actuals!BC44)</f>
        <v>-583.6644</v>
      </c>
      <c r="BC226" s="21" t="n">
        <f aca="false">IF(ISBLANK(Actuals!BD44),-550*Escalation!$B$52,Actuals!BD44)</f>
        <v>-583.6644</v>
      </c>
      <c r="BD226" s="21" t="n">
        <f aca="false">IF(ISBLANK(Actuals!BE44),-550*Escalation!$B$53,Actuals!BE44)</f>
        <v>-583.6644</v>
      </c>
      <c r="BE226" s="21" t="n">
        <f aca="false">IF(ISBLANK(Actuals!BF44),-550*Escalation!$B$54,Actuals!BF44)</f>
        <v>-583.6644</v>
      </c>
      <c r="BF226" s="21" t="n">
        <f aca="false">IF(ISBLANK(Actuals!BG44),-550*Escalation!$B$55,Actuals!BG44)</f>
        <v>-583.6644</v>
      </c>
      <c r="BG226" s="21" t="n">
        <f aca="false">IF(ISBLANK(Actuals!BH44),-550*Escalation!$B$56,Actuals!BH44)</f>
        <v>-583.6644</v>
      </c>
      <c r="BH226" s="21" t="n">
        <f aca="false">IF(ISBLANK(Actuals!BI44),-550*Escalation!$B$57,Actuals!BI44)</f>
        <v>-583.6644</v>
      </c>
      <c r="BI226" s="21" t="n">
        <f aca="false">IF(ISBLANK(Actuals!BJ44),-550*Escalation!$B$58,Actuals!BJ44)</f>
        <v>-583.6644</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-595.337688</v>
      </c>
      <c r="BN226" s="21" t="n">
        <f aca="false">IF(ISBLANK(Actuals!BO44),-550*Escalation!$B$63,Actuals!BO44)</f>
        <v>-595.337688</v>
      </c>
      <c r="BO226" s="21" t="n">
        <f aca="false">IF(ISBLANK(Actuals!BP44),-550*Escalation!$B$64,Actuals!BP44)</f>
        <v>-595.337688</v>
      </c>
      <c r="BP226" s="21" t="n">
        <f aca="false">IF(ISBLANK(Actuals!BQ44),-550*Escalation!$B$65,Actuals!BQ44)</f>
        <v>-595.337688</v>
      </c>
      <c r="BQ226" s="21" t="n">
        <f aca="false">IF(ISBLANK(Actuals!BR44),-550*Escalation!$B$66,Actuals!BR44)</f>
        <v>-595.337688</v>
      </c>
      <c r="BR226" s="21" t="n">
        <f aca="false">IF(ISBLANK(Actuals!BS44),-550*Escalation!$B$67,Actuals!BS44)</f>
        <v>-595.337688</v>
      </c>
      <c r="BS226" s="21" t="n">
        <f aca="false">IF(ISBLANK(Actuals!BT44),-550*Escalation!$B$68,Actuals!BT44)</f>
        <v>-595.337688</v>
      </c>
      <c r="BT226" s="21" t="n">
        <f aca="false">IF(ISBLANK(Actuals!BU44),-550*Escalation!$B$69,Actuals!BU44)</f>
        <v>-595.337688</v>
      </c>
      <c r="BU226" s="21" t="n">
        <f aca="false">IF(ISBLANK(Actuals!BV44),-550*Escalation!$B$70,Actuals!BV44)</f>
        <v>-595.337688</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-607.24444176</v>
      </c>
      <c r="BZ226" s="21" t="n">
        <f aca="false">IF(ISBLANK(Actuals!CA44),-550*Escalation!$B$75,Actuals!CA44)</f>
        <v>-607.24444176</v>
      </c>
      <c r="CA226" s="21" t="n">
        <f aca="false">IF(ISBLANK(Actuals!CB44),-550*Escalation!$B$76,Actuals!CB44)</f>
        <v>-607.24444176</v>
      </c>
      <c r="CB226" s="21" t="n">
        <f aca="false">IF(ISBLANK(Actuals!CC44),-550*Escalation!$B$77,Actuals!CC44)</f>
        <v>-607.24444176</v>
      </c>
      <c r="CC226" s="21" t="n">
        <f aca="false">IF(ISBLANK(Actuals!CD44),-550*Escalation!$B$78,Actuals!CD44)</f>
        <v>-607.24444176</v>
      </c>
      <c r="CD226" s="21" t="n">
        <f aca="false">IF(ISBLANK(Actuals!CE44),-550*Escalation!$B$79,Actuals!CE44)</f>
        <v>-607.24444176</v>
      </c>
      <c r="CE226" s="21" t="n">
        <f aca="false">IF(ISBLANK(Actuals!CF44),-550*Escalation!$B$80,Actuals!CF44)</f>
        <v>-607.24444176</v>
      </c>
      <c r="CF226" s="21" t="n">
        <f aca="false">IF(ISBLANK(Actuals!CG44),-550*Escalation!$B$81,Actuals!CG44)</f>
        <v>-607.24444176</v>
      </c>
      <c r="CG226" s="21" t="n">
        <f aca="false">IF(ISBLANK(Actuals!CH44),-550*Escalation!$B$82,Actuals!CH44)</f>
        <v>-607.24444176</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-619.3893305952</v>
      </c>
      <c r="CL226" s="21" t="n">
        <f aca="false">IF(ISBLANK(Actuals!CM44),-550*Escalation!$B$87,Actuals!CM44)</f>
        <v>-619.3893305952</v>
      </c>
      <c r="CM226" s="21" t="n">
        <f aca="false">IF(ISBLANK(Actuals!CN44),-550*Escalation!$B$88,Actuals!CN44)</f>
        <v>-619.3893305952</v>
      </c>
      <c r="CN226" s="21" t="n">
        <f aca="false">IF(ISBLANK(Actuals!CO44),-550*Escalation!$B$89,Actuals!CO44)</f>
        <v>-619.3893305952</v>
      </c>
      <c r="CO226" s="21" t="n">
        <f aca="false">IF(ISBLANK(Actuals!CP44),-550*Escalation!$B$90,Actuals!CP44)</f>
        <v>-619.3893305952</v>
      </c>
      <c r="CP226" s="21" t="n">
        <f aca="false">IF(ISBLANK(Actuals!CQ44),-550*Escalation!$B$91,Actuals!CQ44)</f>
        <v>-619.3893305952</v>
      </c>
      <c r="CQ226" s="21" t="n">
        <f aca="false">IF(ISBLANK(Actuals!CR44),-550*Escalation!$B$92,Actuals!CR44)</f>
        <v>-619.3893305952</v>
      </c>
      <c r="CR226" s="21" t="n">
        <f aca="false">IF(ISBLANK(Actuals!CS44),-550*Escalation!$B$93,Actuals!CS44)</f>
        <v>-619.3893305952</v>
      </c>
      <c r="CS226" s="21" t="n">
        <f aca="false">IF(ISBLANK(Actuals!CT44),-550*Escalation!$B$94,Actuals!CT44)</f>
        <v>-619.3893305952</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-631.777117207104</v>
      </c>
      <c r="CX226" s="21" t="n">
        <f aca="false">IF(ISBLANK(Actuals!CY44),-550*Escalation!$B$99,Actuals!CY44)</f>
        <v>-631.777117207104</v>
      </c>
      <c r="CY226" s="21" t="n">
        <f aca="false">IF(ISBLANK(Actuals!CZ44),-550*Escalation!$B$100,Actuals!CZ44)</f>
        <v>-631.777117207104</v>
      </c>
      <c r="CZ226" s="21" t="n">
        <f aca="false">IF(ISBLANK(Actuals!DA44),-550*Escalation!$B$101,Actuals!DA44)</f>
        <v>-631.777117207104</v>
      </c>
      <c r="DA226" s="21" t="n">
        <f aca="false">IF(ISBLANK(Actuals!DB44),-550*Escalation!$B$102,Actuals!DB44)</f>
        <v>-631.777117207104</v>
      </c>
      <c r="DB226" s="21" t="n">
        <f aca="false">IF(ISBLANK(Actuals!DC44),-550*Escalation!$B$103,Actuals!DC44)</f>
        <v>-631.777117207104</v>
      </c>
      <c r="DC226" s="21" t="n">
        <f aca="false">IF(ISBLANK(Actuals!DD44),-550*Escalation!$B$104,Actuals!DD44)</f>
        <v>-631.777117207104</v>
      </c>
      <c r="DD226" s="21" t="n">
        <f aca="false">IF(ISBLANK(Actuals!DE44),-550*Escalation!$B$105,Actuals!DE44)</f>
        <v>-631.777117207104</v>
      </c>
      <c r="DE226" s="21" t="n">
        <f aca="false">IF(ISBLANK(Actuals!DF44),-550*Escalation!$B$106,Actuals!DF44)</f>
        <v>-631.777117207104</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-17638.14</v>
      </c>
      <c r="R227" s="21" t="n">
        <f aca="false">IF(ISBLANK(Actuals!S45),-17638.14*Escalation!$B$15,Actuals!S45)</f>
        <v>-17638.14</v>
      </c>
      <c r="S227" s="21" t="n">
        <f aca="false">IF(ISBLANK(Actuals!T45),-17638.14*Escalation!$B$16,Actuals!T45)</f>
        <v>-17638.14</v>
      </c>
      <c r="T227" s="21" t="n">
        <f aca="false">IF(ISBLANK(Actuals!U45),-17638.14*Escalation!$B$17,Actuals!U45)</f>
        <v>-17638.14</v>
      </c>
      <c r="U227" s="21" t="n">
        <f aca="false">IF(ISBLANK(Actuals!V45),-17638.14*Escalation!$B$18,Actuals!V45)</f>
        <v>-17638.14</v>
      </c>
      <c r="V227" s="21" t="n">
        <f aca="false">IF(ISBLANK(Actuals!W45),-17638.14*Escalation!$B$19,Actuals!W45)</f>
        <v>-17638.14</v>
      </c>
      <c r="W227" s="21" t="n">
        <f aca="false">IF(ISBLANK(Actuals!X45),-17638.14*Escalation!$B$20,Actuals!X45)</f>
        <v>-17638.14</v>
      </c>
      <c r="X227" s="21" t="n">
        <f aca="false">IF(ISBLANK(Actuals!Y45),-17638.14*Escalation!$B$21,Actuals!Y45)</f>
        <v>-17638.14</v>
      </c>
      <c r="Y227" s="21" t="n">
        <f aca="false">IF(ISBLANK(Actuals!Z45),-17638.14*Escalation!$B$22,Actuals!Z45)</f>
        <v>-17638.14</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-17990.9028</v>
      </c>
      <c r="AD227" s="21" t="n">
        <f aca="false">IF(ISBLANK(Actuals!AE45),-17638.14*Escalation!$B$27,Actuals!AE45)</f>
        <v>-17990.9028</v>
      </c>
      <c r="AE227" s="21" t="n">
        <f aca="false">IF(ISBLANK(Actuals!AF45),-17638.14*Escalation!$B$28,Actuals!AF45)</f>
        <v>-17990.9028</v>
      </c>
      <c r="AF227" s="21" t="n">
        <f aca="false">IF(ISBLANK(Actuals!AG45),-17638.14*Escalation!$B$29,Actuals!AG45)</f>
        <v>-17990.9028</v>
      </c>
      <c r="AG227" s="21" t="n">
        <f aca="false">IF(ISBLANK(Actuals!AH45),-17638.14*Escalation!$B$30,Actuals!AH45)</f>
        <v>-17990.9028</v>
      </c>
      <c r="AH227" s="21" t="n">
        <f aca="false">IF(ISBLANK(Actuals!AI45),-17638.14*Escalation!$B$31,Actuals!AI45)</f>
        <v>-17990.9028</v>
      </c>
      <c r="AI227" s="21" t="n">
        <f aca="false">IF(ISBLANK(Actuals!AJ45),-17638.14*Escalation!$B$32,Actuals!AJ45)</f>
        <v>-17990.9028</v>
      </c>
      <c r="AJ227" s="21" t="n">
        <f aca="false">IF(ISBLANK(Actuals!AK45),-17638.14*Escalation!$B$33,Actuals!AK45)</f>
        <v>-17990.9028</v>
      </c>
      <c r="AK227" s="21" t="n">
        <f aca="false">IF(ISBLANK(Actuals!AL45),-17638.14*Escalation!$B$34,Actuals!AL45)</f>
        <v>-17990.9028</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-18350.720856</v>
      </c>
      <c r="AP227" s="21" t="n">
        <f aca="false">IF(ISBLANK(Actuals!AQ45),-17638.14*Escalation!$B$39,Actuals!AQ45)</f>
        <v>-18350.720856</v>
      </c>
      <c r="AQ227" s="21" t="n">
        <f aca="false">IF(ISBLANK(Actuals!AR45),-17638.14*Escalation!$B$40,Actuals!AR45)</f>
        <v>-18350.720856</v>
      </c>
      <c r="AR227" s="21" t="n">
        <f aca="false">IF(ISBLANK(Actuals!AS45),-17638.14*Escalation!$B$41,Actuals!AS45)</f>
        <v>-18350.720856</v>
      </c>
      <c r="AS227" s="21" t="n">
        <f aca="false">IF(ISBLANK(Actuals!AT45),-17638.14*Escalation!$B$42,Actuals!AT45)</f>
        <v>-18350.720856</v>
      </c>
      <c r="AT227" s="21" t="n">
        <f aca="false">IF(ISBLANK(Actuals!AU45),-17638.14*Escalation!$B$43,Actuals!AU45)</f>
        <v>-18350.720856</v>
      </c>
      <c r="AU227" s="21" t="n">
        <f aca="false">IF(ISBLANK(Actuals!AV45),-17638.14*Escalation!$B$44,Actuals!AV45)</f>
        <v>-18350.720856</v>
      </c>
      <c r="AV227" s="21" t="n">
        <f aca="false">IF(ISBLANK(Actuals!AW45),-17638.14*Escalation!$B$45,Actuals!AW45)</f>
        <v>-18350.720856</v>
      </c>
      <c r="AW227" s="21" t="n">
        <f aca="false">IF(ISBLANK(Actuals!AX45),-17638.14*Escalation!$B$46,Actuals!AX45)</f>
        <v>-18350.720856</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-18717.73527312</v>
      </c>
      <c r="BB227" s="21" t="n">
        <f aca="false">IF(ISBLANK(Actuals!BC45),-17638.14*Escalation!$B$51,Actuals!BC45)</f>
        <v>-18717.73527312</v>
      </c>
      <c r="BC227" s="21" t="n">
        <f aca="false">IF(ISBLANK(Actuals!BD45),-17638.14*Escalation!$B$52,Actuals!BD45)</f>
        <v>-18717.73527312</v>
      </c>
      <c r="BD227" s="21" t="n">
        <f aca="false">IF(ISBLANK(Actuals!BE45),-17638.14*Escalation!$B$53,Actuals!BE45)</f>
        <v>-18717.73527312</v>
      </c>
      <c r="BE227" s="21" t="n">
        <f aca="false">IF(ISBLANK(Actuals!BF45),-17638.14*Escalation!$B$54,Actuals!BF45)</f>
        <v>-18717.73527312</v>
      </c>
      <c r="BF227" s="21" t="n">
        <f aca="false">IF(ISBLANK(Actuals!BG45),-17638.14*Escalation!$B$55,Actuals!BG45)</f>
        <v>-18717.73527312</v>
      </c>
      <c r="BG227" s="21" t="n">
        <f aca="false">IF(ISBLANK(Actuals!BH45),-17638.14*Escalation!$B$56,Actuals!BH45)</f>
        <v>-18717.73527312</v>
      </c>
      <c r="BH227" s="21" t="n">
        <f aca="false">IF(ISBLANK(Actuals!BI45),-17638.14*Escalation!$B$57,Actuals!BI45)</f>
        <v>-18717.73527312</v>
      </c>
      <c r="BI227" s="21" t="n">
        <f aca="false">IF(ISBLANK(Actuals!BJ45),-17638.14*Escalation!$B$58,Actuals!BJ45)</f>
        <v>-18717.73527312</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-19092.0899785824</v>
      </c>
      <c r="BN227" s="21" t="n">
        <f aca="false">IF(ISBLANK(Actuals!BO45),-17638.14*Escalation!$B$63,Actuals!BO45)</f>
        <v>-19092.0899785824</v>
      </c>
      <c r="BO227" s="21" t="n">
        <f aca="false">IF(ISBLANK(Actuals!BP45),-17638.14*Escalation!$B$64,Actuals!BP45)</f>
        <v>-19092.0899785824</v>
      </c>
      <c r="BP227" s="21" t="n">
        <f aca="false">IF(ISBLANK(Actuals!BQ45),-17638.14*Escalation!$B$65,Actuals!BQ45)</f>
        <v>-19092.0899785824</v>
      </c>
      <c r="BQ227" s="21" t="n">
        <f aca="false">IF(ISBLANK(Actuals!BR45),-17638.14*Escalation!$B$66,Actuals!BR45)</f>
        <v>-19092.0899785824</v>
      </c>
      <c r="BR227" s="21" t="n">
        <f aca="false">IF(ISBLANK(Actuals!BS45),-17638.14*Escalation!$B$67,Actuals!BS45)</f>
        <v>-19092.0899785824</v>
      </c>
      <c r="BS227" s="21" t="n">
        <f aca="false">IF(ISBLANK(Actuals!BT45),-17638.14*Escalation!$B$68,Actuals!BT45)</f>
        <v>-19092.0899785824</v>
      </c>
      <c r="BT227" s="21" t="n">
        <f aca="false">IF(ISBLANK(Actuals!BU45),-17638.14*Escalation!$B$69,Actuals!BU45)</f>
        <v>-19092.0899785824</v>
      </c>
      <c r="BU227" s="21" t="n">
        <f aca="false">IF(ISBLANK(Actuals!BV45),-17638.14*Escalation!$B$70,Actuals!BV45)</f>
        <v>-19092.0899785824</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-19473.9317781541</v>
      </c>
      <c r="BZ227" s="21" t="n">
        <f aca="false">IF(ISBLANK(Actuals!CA45),-17638.14*Escalation!$B$75,Actuals!CA45)</f>
        <v>-19473.9317781541</v>
      </c>
      <c r="CA227" s="21" t="n">
        <f aca="false">IF(ISBLANK(Actuals!CB45),-17638.14*Escalation!$B$76,Actuals!CB45)</f>
        <v>-19473.9317781541</v>
      </c>
      <c r="CB227" s="21" t="n">
        <f aca="false">IF(ISBLANK(Actuals!CC45),-17638.14*Escalation!$B$77,Actuals!CC45)</f>
        <v>-19473.9317781541</v>
      </c>
      <c r="CC227" s="21" t="n">
        <f aca="false">IF(ISBLANK(Actuals!CD45),-17638.14*Escalation!$B$78,Actuals!CD45)</f>
        <v>-19473.9317781541</v>
      </c>
      <c r="CD227" s="21" t="n">
        <f aca="false">IF(ISBLANK(Actuals!CE45),-17638.14*Escalation!$B$79,Actuals!CE45)</f>
        <v>-19473.9317781541</v>
      </c>
      <c r="CE227" s="21" t="n">
        <f aca="false">IF(ISBLANK(Actuals!CF45),-17638.14*Escalation!$B$80,Actuals!CF45)</f>
        <v>-19473.9317781541</v>
      </c>
      <c r="CF227" s="21" t="n">
        <f aca="false">IF(ISBLANK(Actuals!CG45),-17638.14*Escalation!$B$81,Actuals!CG45)</f>
        <v>-19473.9317781541</v>
      </c>
      <c r="CG227" s="21" t="n">
        <f aca="false">IF(ISBLANK(Actuals!CH45),-17638.14*Escalation!$B$82,Actuals!CH45)</f>
        <v>-19473.9317781541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-19863.4104137171</v>
      </c>
      <c r="CL227" s="21" t="n">
        <f aca="false">IF(ISBLANK(Actuals!CM45),-17638.14*Escalation!$B$87,Actuals!CM45)</f>
        <v>-19863.4104137171</v>
      </c>
      <c r="CM227" s="21" t="n">
        <f aca="false">IF(ISBLANK(Actuals!CN45),-17638.14*Escalation!$B$88,Actuals!CN45)</f>
        <v>-19863.4104137171</v>
      </c>
      <c r="CN227" s="21" t="n">
        <f aca="false">IF(ISBLANK(Actuals!CO45),-17638.14*Escalation!$B$89,Actuals!CO45)</f>
        <v>-19863.4104137171</v>
      </c>
      <c r="CO227" s="21" t="n">
        <f aca="false">IF(ISBLANK(Actuals!CP45),-17638.14*Escalation!$B$90,Actuals!CP45)</f>
        <v>-19863.4104137171</v>
      </c>
      <c r="CP227" s="21" t="n">
        <f aca="false">IF(ISBLANK(Actuals!CQ45),-17638.14*Escalation!$B$91,Actuals!CQ45)</f>
        <v>-19863.4104137171</v>
      </c>
      <c r="CQ227" s="21" t="n">
        <f aca="false">IF(ISBLANK(Actuals!CR45),-17638.14*Escalation!$B$92,Actuals!CR45)</f>
        <v>-19863.4104137171</v>
      </c>
      <c r="CR227" s="21" t="n">
        <f aca="false">IF(ISBLANK(Actuals!CS45),-17638.14*Escalation!$B$93,Actuals!CS45)</f>
        <v>-19863.4104137171</v>
      </c>
      <c r="CS227" s="21" t="n">
        <f aca="false">IF(ISBLANK(Actuals!CT45),-17638.14*Escalation!$B$94,Actuals!CT45)</f>
        <v>-19863.4104137171</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-20260.6786219915</v>
      </c>
      <c r="CX227" s="21" t="n">
        <f aca="false">IF(ISBLANK(Actuals!CY45),-17638.14*Escalation!$B$99,Actuals!CY45)</f>
        <v>-20260.6786219915</v>
      </c>
      <c r="CY227" s="21" t="n">
        <f aca="false">IF(ISBLANK(Actuals!CZ45),-17638.14*Escalation!$B$100,Actuals!CZ45)</f>
        <v>-20260.6786219915</v>
      </c>
      <c r="CZ227" s="21" t="n">
        <f aca="false">IF(ISBLANK(Actuals!DA45),-17638.14*Escalation!$B$101,Actuals!DA45)</f>
        <v>-20260.6786219915</v>
      </c>
      <c r="DA227" s="21" t="n">
        <f aca="false">IF(ISBLANK(Actuals!DB45),-17638.14*Escalation!$B$102,Actuals!DB45)</f>
        <v>-20260.6786219915</v>
      </c>
      <c r="DB227" s="21" t="n">
        <f aca="false">IF(ISBLANK(Actuals!DC45),-17638.14*Escalation!$B$103,Actuals!DC45)</f>
        <v>-20260.6786219915</v>
      </c>
      <c r="DC227" s="21" t="n">
        <f aca="false">IF(ISBLANK(Actuals!DD45),-17638.14*Escalation!$B$104,Actuals!DD45)</f>
        <v>-20260.6786219915</v>
      </c>
      <c r="DD227" s="21" t="n">
        <f aca="false">IF(ISBLANK(Actuals!DE45),-17638.14*Escalation!$B$105,Actuals!DE45)</f>
        <v>-20260.6786219915</v>
      </c>
      <c r="DE227" s="21" t="n">
        <f aca="false">IF(ISBLANK(Actuals!DF45),-17638.14*Escalation!$B$106,Actuals!DF45)</f>
        <v>-20260.6786219915</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-1422.33</v>
      </c>
      <c r="R228" s="21" t="n">
        <f aca="false">IF(ISBLANK(Actuals!S46),-1422.33*Escalation!$B$15,Actuals!S46)</f>
        <v>-1422.33</v>
      </c>
      <c r="S228" s="21" t="n">
        <f aca="false">IF(ISBLANK(Actuals!T46),-1422.33*Escalation!$B$16,Actuals!T46)</f>
        <v>-1422.33</v>
      </c>
      <c r="T228" s="21" t="n">
        <f aca="false">IF(ISBLANK(Actuals!U46),-1422.33*Escalation!$B$17,Actuals!U46)</f>
        <v>-1422.33</v>
      </c>
      <c r="U228" s="21" t="n">
        <f aca="false">IF(ISBLANK(Actuals!V46),-1422.33*Escalation!$B$18,Actuals!V46)</f>
        <v>-1422.33</v>
      </c>
      <c r="V228" s="21" t="n">
        <f aca="false">IF(ISBLANK(Actuals!W46),-1422.33*Escalation!$B$19,Actuals!W46)</f>
        <v>-1422.33</v>
      </c>
      <c r="W228" s="21" t="n">
        <f aca="false">IF(ISBLANK(Actuals!X46),-1422.33*Escalation!$B$20,Actuals!X46)</f>
        <v>-1422.33</v>
      </c>
      <c r="X228" s="21" t="n">
        <f aca="false">IF(ISBLANK(Actuals!Y46),-1422.33*Escalation!$B$21,Actuals!Y46)</f>
        <v>-1422.33</v>
      </c>
      <c r="Y228" s="21" t="n">
        <f aca="false">IF(ISBLANK(Actuals!Z46),-1422.33*Escalation!$B$22,Actuals!Z46)</f>
        <v>-1422.33</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-1450.7766</v>
      </c>
      <c r="AD228" s="21" t="n">
        <f aca="false">IF(ISBLANK(Actuals!AE46),-1422.33*Escalation!$B$27,Actuals!AE46)</f>
        <v>-1450.7766</v>
      </c>
      <c r="AE228" s="21" t="n">
        <f aca="false">IF(ISBLANK(Actuals!AF46),-1422.33*Escalation!$B$28,Actuals!AF46)</f>
        <v>-1450.7766</v>
      </c>
      <c r="AF228" s="21" t="n">
        <f aca="false">IF(ISBLANK(Actuals!AG46),-1422.33*Escalation!$B$29,Actuals!AG46)</f>
        <v>-1450.7766</v>
      </c>
      <c r="AG228" s="21" t="n">
        <f aca="false">IF(ISBLANK(Actuals!AH46),-1422.33*Escalation!$B$30,Actuals!AH46)</f>
        <v>-1450.7766</v>
      </c>
      <c r="AH228" s="21" t="n">
        <f aca="false">IF(ISBLANK(Actuals!AI46),-1422.33*Escalation!$B$31,Actuals!AI46)</f>
        <v>-1450.7766</v>
      </c>
      <c r="AI228" s="21" t="n">
        <f aca="false">IF(ISBLANK(Actuals!AJ46),-1422.33*Escalation!$B$32,Actuals!AJ46)</f>
        <v>-1450.7766</v>
      </c>
      <c r="AJ228" s="21" t="n">
        <f aca="false">IF(ISBLANK(Actuals!AK46),-1422.33*Escalation!$B$33,Actuals!AK46)</f>
        <v>-1450.7766</v>
      </c>
      <c r="AK228" s="21" t="n">
        <f aca="false">IF(ISBLANK(Actuals!AL46),-1422.33*Escalation!$B$34,Actuals!AL46)</f>
        <v>-1450.7766</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-1479.792132</v>
      </c>
      <c r="AP228" s="21" t="n">
        <f aca="false">IF(ISBLANK(Actuals!AQ46),-1422.33*Escalation!$B$39,Actuals!AQ46)</f>
        <v>-1479.792132</v>
      </c>
      <c r="AQ228" s="21" t="n">
        <f aca="false">IF(ISBLANK(Actuals!AR46),-1422.33*Escalation!$B$40,Actuals!AR46)</f>
        <v>-1479.792132</v>
      </c>
      <c r="AR228" s="21" t="n">
        <f aca="false">IF(ISBLANK(Actuals!AS46),-1422.33*Escalation!$B$41,Actuals!AS46)</f>
        <v>-1479.792132</v>
      </c>
      <c r="AS228" s="21" t="n">
        <f aca="false">IF(ISBLANK(Actuals!AT46),-1422.33*Escalation!$B$42,Actuals!AT46)</f>
        <v>-1479.792132</v>
      </c>
      <c r="AT228" s="21" t="n">
        <f aca="false">IF(ISBLANK(Actuals!AU46),-1422.33*Escalation!$B$43,Actuals!AU46)</f>
        <v>-1479.792132</v>
      </c>
      <c r="AU228" s="21" t="n">
        <f aca="false">IF(ISBLANK(Actuals!AV46),-1422.33*Escalation!$B$44,Actuals!AV46)</f>
        <v>-1479.792132</v>
      </c>
      <c r="AV228" s="21" t="n">
        <f aca="false">IF(ISBLANK(Actuals!AW46),-1422.33*Escalation!$B$45,Actuals!AW46)</f>
        <v>-1479.792132</v>
      </c>
      <c r="AW228" s="21" t="n">
        <f aca="false">IF(ISBLANK(Actuals!AX46),-1422.33*Escalation!$B$46,Actuals!AX46)</f>
        <v>-1479.792132</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-1509.38797464</v>
      </c>
      <c r="BB228" s="21" t="n">
        <f aca="false">IF(ISBLANK(Actuals!BC46),-1422.33*Escalation!$B$51,Actuals!BC46)</f>
        <v>-1509.38797464</v>
      </c>
      <c r="BC228" s="21" t="n">
        <f aca="false">IF(ISBLANK(Actuals!BD46),-1422.33*Escalation!$B$52,Actuals!BD46)</f>
        <v>-1509.38797464</v>
      </c>
      <c r="BD228" s="21" t="n">
        <f aca="false">IF(ISBLANK(Actuals!BE46),-1422.33*Escalation!$B$53,Actuals!BE46)</f>
        <v>-1509.38797464</v>
      </c>
      <c r="BE228" s="21" t="n">
        <f aca="false">IF(ISBLANK(Actuals!BF46),-1422.33*Escalation!$B$54,Actuals!BF46)</f>
        <v>-1509.38797464</v>
      </c>
      <c r="BF228" s="21" t="n">
        <f aca="false">IF(ISBLANK(Actuals!BG46),-1422.33*Escalation!$B$55,Actuals!BG46)</f>
        <v>-1509.38797464</v>
      </c>
      <c r="BG228" s="21" t="n">
        <f aca="false">IF(ISBLANK(Actuals!BH46),-1422.33*Escalation!$B$56,Actuals!BH46)</f>
        <v>-1509.38797464</v>
      </c>
      <c r="BH228" s="21" t="n">
        <f aca="false">IF(ISBLANK(Actuals!BI46),-1422.33*Escalation!$B$57,Actuals!BI46)</f>
        <v>-1509.38797464</v>
      </c>
      <c r="BI228" s="21" t="n">
        <f aca="false">IF(ISBLANK(Actuals!BJ46),-1422.33*Escalation!$B$58,Actuals!BJ46)</f>
        <v>-1509.38797464</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-1539.5757341328</v>
      </c>
      <c r="BN228" s="21" t="n">
        <f aca="false">IF(ISBLANK(Actuals!BO46),-1422.33*Escalation!$B$63,Actuals!BO46)</f>
        <v>-1539.5757341328</v>
      </c>
      <c r="BO228" s="21" t="n">
        <f aca="false">IF(ISBLANK(Actuals!BP46),-1422.33*Escalation!$B$64,Actuals!BP46)</f>
        <v>-1539.5757341328</v>
      </c>
      <c r="BP228" s="21" t="n">
        <f aca="false">IF(ISBLANK(Actuals!BQ46),-1422.33*Escalation!$B$65,Actuals!BQ46)</f>
        <v>-1539.5757341328</v>
      </c>
      <c r="BQ228" s="21" t="n">
        <f aca="false">IF(ISBLANK(Actuals!BR46),-1422.33*Escalation!$B$66,Actuals!BR46)</f>
        <v>-1539.5757341328</v>
      </c>
      <c r="BR228" s="21" t="n">
        <f aca="false">IF(ISBLANK(Actuals!BS46),-1422.33*Escalation!$B$67,Actuals!BS46)</f>
        <v>-1539.5757341328</v>
      </c>
      <c r="BS228" s="21" t="n">
        <f aca="false">IF(ISBLANK(Actuals!BT46),-1422.33*Escalation!$B$68,Actuals!BT46)</f>
        <v>-1539.5757341328</v>
      </c>
      <c r="BT228" s="21" t="n">
        <f aca="false">IF(ISBLANK(Actuals!BU46),-1422.33*Escalation!$B$69,Actuals!BU46)</f>
        <v>-1539.5757341328</v>
      </c>
      <c r="BU228" s="21" t="n">
        <f aca="false">IF(ISBLANK(Actuals!BV46),-1422.33*Escalation!$B$70,Actuals!BV46)</f>
        <v>-1539.5757341328</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-1570.36724881546</v>
      </c>
      <c r="BZ228" s="21" t="n">
        <f aca="false">IF(ISBLANK(Actuals!CA46),-1422.33*Escalation!$B$75,Actuals!CA46)</f>
        <v>-1570.36724881546</v>
      </c>
      <c r="CA228" s="21" t="n">
        <f aca="false">IF(ISBLANK(Actuals!CB46),-1422.33*Escalation!$B$76,Actuals!CB46)</f>
        <v>-1570.36724881546</v>
      </c>
      <c r="CB228" s="21" t="n">
        <f aca="false">IF(ISBLANK(Actuals!CC46),-1422.33*Escalation!$B$77,Actuals!CC46)</f>
        <v>-1570.36724881546</v>
      </c>
      <c r="CC228" s="21" t="n">
        <f aca="false">IF(ISBLANK(Actuals!CD46),-1422.33*Escalation!$B$78,Actuals!CD46)</f>
        <v>-1570.36724881546</v>
      </c>
      <c r="CD228" s="21" t="n">
        <f aca="false">IF(ISBLANK(Actuals!CE46),-1422.33*Escalation!$B$79,Actuals!CE46)</f>
        <v>-1570.36724881546</v>
      </c>
      <c r="CE228" s="21" t="n">
        <f aca="false">IF(ISBLANK(Actuals!CF46),-1422.33*Escalation!$B$80,Actuals!CF46)</f>
        <v>-1570.36724881546</v>
      </c>
      <c r="CF228" s="21" t="n">
        <f aca="false">IF(ISBLANK(Actuals!CG46),-1422.33*Escalation!$B$81,Actuals!CG46)</f>
        <v>-1570.36724881546</v>
      </c>
      <c r="CG228" s="21" t="n">
        <f aca="false">IF(ISBLANK(Actuals!CH46),-1422.33*Escalation!$B$82,Actuals!CH46)</f>
        <v>-1570.36724881546</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-1601.77459379177</v>
      </c>
      <c r="CL228" s="21" t="n">
        <f aca="false">IF(ISBLANK(Actuals!CM46),-1422.33*Escalation!$B$87,Actuals!CM46)</f>
        <v>-1601.77459379177</v>
      </c>
      <c r="CM228" s="21" t="n">
        <f aca="false">IF(ISBLANK(Actuals!CN46),-1422.33*Escalation!$B$88,Actuals!CN46)</f>
        <v>-1601.77459379177</v>
      </c>
      <c r="CN228" s="21" t="n">
        <f aca="false">IF(ISBLANK(Actuals!CO46),-1422.33*Escalation!$B$89,Actuals!CO46)</f>
        <v>-1601.77459379177</v>
      </c>
      <c r="CO228" s="21" t="n">
        <f aca="false">IF(ISBLANK(Actuals!CP46),-1422.33*Escalation!$B$90,Actuals!CP46)</f>
        <v>-1601.77459379177</v>
      </c>
      <c r="CP228" s="21" t="n">
        <f aca="false">IF(ISBLANK(Actuals!CQ46),-1422.33*Escalation!$B$91,Actuals!CQ46)</f>
        <v>-1601.77459379177</v>
      </c>
      <c r="CQ228" s="21" t="n">
        <f aca="false">IF(ISBLANK(Actuals!CR46),-1422.33*Escalation!$B$92,Actuals!CR46)</f>
        <v>-1601.77459379177</v>
      </c>
      <c r="CR228" s="21" t="n">
        <f aca="false">IF(ISBLANK(Actuals!CS46),-1422.33*Escalation!$B$93,Actuals!CS46)</f>
        <v>-1601.77459379177</v>
      </c>
      <c r="CS228" s="21" t="n">
        <f aca="false">IF(ISBLANK(Actuals!CT46),-1422.33*Escalation!$B$94,Actuals!CT46)</f>
        <v>-1601.77459379177</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-1633.8100856676</v>
      </c>
      <c r="CX228" s="21" t="n">
        <f aca="false">IF(ISBLANK(Actuals!CY46),-1422.33*Escalation!$B$99,Actuals!CY46)</f>
        <v>-1633.8100856676</v>
      </c>
      <c r="CY228" s="21" t="n">
        <f aca="false">IF(ISBLANK(Actuals!CZ46),-1422.33*Escalation!$B$100,Actuals!CZ46)</f>
        <v>-1633.8100856676</v>
      </c>
      <c r="CZ228" s="21" t="n">
        <f aca="false">IF(ISBLANK(Actuals!DA46),-1422.33*Escalation!$B$101,Actuals!DA46)</f>
        <v>-1633.8100856676</v>
      </c>
      <c r="DA228" s="21" t="n">
        <f aca="false">IF(ISBLANK(Actuals!DB46),-1422.33*Escalation!$B$102,Actuals!DB46)</f>
        <v>-1633.8100856676</v>
      </c>
      <c r="DB228" s="21" t="n">
        <f aca="false">IF(ISBLANK(Actuals!DC46),-1422.33*Escalation!$B$103,Actuals!DC46)</f>
        <v>-1633.8100856676</v>
      </c>
      <c r="DC228" s="21" t="n">
        <f aca="false">IF(ISBLANK(Actuals!DD46),-1422.33*Escalation!$B$104,Actuals!DD46)</f>
        <v>-1633.8100856676</v>
      </c>
      <c r="DD228" s="21" t="n">
        <f aca="false">IF(ISBLANK(Actuals!DE46),-1422.33*Escalation!$B$105,Actuals!DE46)</f>
        <v>-1633.8100856676</v>
      </c>
      <c r="DE228" s="21" t="n">
        <f aca="false">IF(ISBLANK(Actuals!DF46),-1422.33*Escalation!$B$106,Actuals!DF46)</f>
        <v>-1633.8100856676</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-160</v>
      </c>
      <c r="R229" s="21" t="n">
        <f aca="false">IF(ISBLANK(Actuals!S47),-160*Escalation!$B$15,Actuals!S47)</f>
        <v>-160</v>
      </c>
      <c r="S229" s="21" t="n">
        <f aca="false">IF(ISBLANK(Actuals!T47),-160*Escalation!$B$16,Actuals!T47)</f>
        <v>-160</v>
      </c>
      <c r="T229" s="21" t="n">
        <f aca="false">IF(ISBLANK(Actuals!U47),-160*Escalation!$B$17,Actuals!U47)</f>
        <v>-160</v>
      </c>
      <c r="U229" s="21" t="n">
        <f aca="false">IF(ISBLANK(Actuals!V47),-160*Escalation!$B$18,Actuals!V47)</f>
        <v>-160</v>
      </c>
      <c r="V229" s="21" t="n">
        <f aca="false">IF(ISBLANK(Actuals!W47),-160*Escalation!$B$19,Actuals!W47)</f>
        <v>-160</v>
      </c>
      <c r="W229" s="21" t="n">
        <f aca="false">IF(ISBLANK(Actuals!X47),-160*Escalation!$B$20,Actuals!X47)</f>
        <v>-160</v>
      </c>
      <c r="X229" s="21" t="n">
        <f aca="false">IF(ISBLANK(Actuals!Y47),-160*Escalation!$B$21,Actuals!Y47)</f>
        <v>-160</v>
      </c>
      <c r="Y229" s="21" t="n">
        <f aca="false">IF(ISBLANK(Actuals!Z47),-160*Escalation!$B$22,Actuals!Z47)</f>
        <v>-160</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-163.2</v>
      </c>
      <c r="AD229" s="21" t="n">
        <f aca="false">IF(ISBLANK(Actuals!AE47),-160*Escalation!$B$27,Actuals!AE47)</f>
        <v>-163.2</v>
      </c>
      <c r="AE229" s="21" t="n">
        <f aca="false">IF(ISBLANK(Actuals!AF47),-160*Escalation!$B$28,Actuals!AF47)</f>
        <v>-163.2</v>
      </c>
      <c r="AF229" s="21" t="n">
        <f aca="false">IF(ISBLANK(Actuals!AG47),-160*Escalation!$B$29,Actuals!AG47)</f>
        <v>-163.2</v>
      </c>
      <c r="AG229" s="21" t="n">
        <f aca="false">IF(ISBLANK(Actuals!AH47),-160*Escalation!$B$30,Actuals!AH47)</f>
        <v>-163.2</v>
      </c>
      <c r="AH229" s="21" t="n">
        <f aca="false">IF(ISBLANK(Actuals!AI47),-160*Escalation!$B$31,Actuals!AI47)</f>
        <v>-163.2</v>
      </c>
      <c r="AI229" s="21" t="n">
        <f aca="false">IF(ISBLANK(Actuals!AJ47),-160*Escalation!$B$32,Actuals!AJ47)</f>
        <v>-163.2</v>
      </c>
      <c r="AJ229" s="21" t="n">
        <f aca="false">IF(ISBLANK(Actuals!AK47),-160*Escalation!$B$33,Actuals!AK47)</f>
        <v>-163.2</v>
      </c>
      <c r="AK229" s="21" t="n">
        <f aca="false">IF(ISBLANK(Actuals!AL47),-160*Escalation!$B$34,Actuals!AL47)</f>
        <v>-163.2</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-166.464</v>
      </c>
      <c r="AP229" s="21" t="n">
        <f aca="false">IF(ISBLANK(Actuals!AQ47),-160*Escalation!$B$39,Actuals!AQ47)</f>
        <v>-166.464</v>
      </c>
      <c r="AQ229" s="21" t="n">
        <f aca="false">IF(ISBLANK(Actuals!AR47),-160*Escalation!$B$40,Actuals!AR47)</f>
        <v>-166.464</v>
      </c>
      <c r="AR229" s="21" t="n">
        <f aca="false">IF(ISBLANK(Actuals!AS47),-160*Escalation!$B$41,Actuals!AS47)</f>
        <v>-166.464</v>
      </c>
      <c r="AS229" s="21" t="n">
        <f aca="false">IF(ISBLANK(Actuals!AT47),-160*Escalation!$B$42,Actuals!AT47)</f>
        <v>-166.464</v>
      </c>
      <c r="AT229" s="21" t="n">
        <f aca="false">IF(ISBLANK(Actuals!AU47),-160*Escalation!$B$43,Actuals!AU47)</f>
        <v>-166.464</v>
      </c>
      <c r="AU229" s="21" t="n">
        <f aca="false">IF(ISBLANK(Actuals!AV47),-160*Escalation!$B$44,Actuals!AV47)</f>
        <v>-166.464</v>
      </c>
      <c r="AV229" s="21" t="n">
        <f aca="false">IF(ISBLANK(Actuals!AW47),-160*Escalation!$B$45,Actuals!AW47)</f>
        <v>-166.464</v>
      </c>
      <c r="AW229" s="21" t="n">
        <f aca="false">IF(ISBLANK(Actuals!AX47),-160*Escalation!$B$46,Actuals!AX47)</f>
        <v>-166.464</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-169.79328</v>
      </c>
      <c r="BB229" s="21" t="n">
        <f aca="false">IF(ISBLANK(Actuals!BC47),-160*Escalation!$B$51,Actuals!BC47)</f>
        <v>-169.79328</v>
      </c>
      <c r="BC229" s="21" t="n">
        <f aca="false">IF(ISBLANK(Actuals!BD47),-160*Escalation!$B$52,Actuals!BD47)</f>
        <v>-169.79328</v>
      </c>
      <c r="BD229" s="21" t="n">
        <f aca="false">IF(ISBLANK(Actuals!BE47),-160*Escalation!$B$53,Actuals!BE47)</f>
        <v>-169.79328</v>
      </c>
      <c r="BE229" s="21" t="n">
        <f aca="false">IF(ISBLANK(Actuals!BF47),-160*Escalation!$B$54,Actuals!BF47)</f>
        <v>-169.79328</v>
      </c>
      <c r="BF229" s="21" t="n">
        <f aca="false">IF(ISBLANK(Actuals!BG47),-160*Escalation!$B$55,Actuals!BG47)</f>
        <v>-169.79328</v>
      </c>
      <c r="BG229" s="21" t="n">
        <f aca="false">IF(ISBLANK(Actuals!BH47),-160*Escalation!$B$56,Actuals!BH47)</f>
        <v>-169.79328</v>
      </c>
      <c r="BH229" s="21" t="n">
        <f aca="false">IF(ISBLANK(Actuals!BI47),-160*Escalation!$B$57,Actuals!BI47)</f>
        <v>-169.79328</v>
      </c>
      <c r="BI229" s="21" t="n">
        <f aca="false">IF(ISBLANK(Actuals!BJ47),-160*Escalation!$B$58,Actuals!BJ47)</f>
        <v>-169.79328</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-173.1891456</v>
      </c>
      <c r="BN229" s="21" t="n">
        <f aca="false">IF(ISBLANK(Actuals!BO47),-160*Escalation!$B$63,Actuals!BO47)</f>
        <v>-173.1891456</v>
      </c>
      <c r="BO229" s="21" t="n">
        <f aca="false">IF(ISBLANK(Actuals!BP47),-160*Escalation!$B$64,Actuals!BP47)</f>
        <v>-173.1891456</v>
      </c>
      <c r="BP229" s="21" t="n">
        <f aca="false">IF(ISBLANK(Actuals!BQ47),-160*Escalation!$B$65,Actuals!BQ47)</f>
        <v>-173.1891456</v>
      </c>
      <c r="BQ229" s="21" t="n">
        <f aca="false">IF(ISBLANK(Actuals!BR47),-160*Escalation!$B$66,Actuals!BR47)</f>
        <v>-173.1891456</v>
      </c>
      <c r="BR229" s="21" t="n">
        <f aca="false">IF(ISBLANK(Actuals!BS47),-160*Escalation!$B$67,Actuals!BS47)</f>
        <v>-173.1891456</v>
      </c>
      <c r="BS229" s="21" t="n">
        <f aca="false">IF(ISBLANK(Actuals!BT47),-160*Escalation!$B$68,Actuals!BT47)</f>
        <v>-173.1891456</v>
      </c>
      <c r="BT229" s="21" t="n">
        <f aca="false">IF(ISBLANK(Actuals!BU47),-160*Escalation!$B$69,Actuals!BU47)</f>
        <v>-173.1891456</v>
      </c>
      <c r="BU229" s="21" t="n">
        <f aca="false">IF(ISBLANK(Actuals!BV47),-160*Escalation!$B$70,Actuals!BV47)</f>
        <v>-173.1891456</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-176.652928512</v>
      </c>
      <c r="BZ229" s="21" t="n">
        <f aca="false">IF(ISBLANK(Actuals!CA47),-160*Escalation!$B$75,Actuals!CA47)</f>
        <v>-176.652928512</v>
      </c>
      <c r="CA229" s="21" t="n">
        <f aca="false">IF(ISBLANK(Actuals!CB47),-160*Escalation!$B$76,Actuals!CB47)</f>
        <v>-176.652928512</v>
      </c>
      <c r="CB229" s="21" t="n">
        <f aca="false">IF(ISBLANK(Actuals!CC47),-160*Escalation!$B$77,Actuals!CC47)</f>
        <v>-176.652928512</v>
      </c>
      <c r="CC229" s="21" t="n">
        <f aca="false">IF(ISBLANK(Actuals!CD47),-160*Escalation!$B$78,Actuals!CD47)</f>
        <v>-176.652928512</v>
      </c>
      <c r="CD229" s="21" t="n">
        <f aca="false">IF(ISBLANK(Actuals!CE47),-160*Escalation!$B$79,Actuals!CE47)</f>
        <v>-176.652928512</v>
      </c>
      <c r="CE229" s="21" t="n">
        <f aca="false">IF(ISBLANK(Actuals!CF47),-160*Escalation!$B$80,Actuals!CF47)</f>
        <v>-176.652928512</v>
      </c>
      <c r="CF229" s="21" t="n">
        <f aca="false">IF(ISBLANK(Actuals!CG47),-160*Escalation!$B$81,Actuals!CG47)</f>
        <v>-176.652928512</v>
      </c>
      <c r="CG229" s="21" t="n">
        <f aca="false">IF(ISBLANK(Actuals!CH47),-160*Escalation!$B$82,Actuals!CH47)</f>
        <v>-176.652928512</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-180.18598708224</v>
      </c>
      <c r="CL229" s="21" t="n">
        <f aca="false">IF(ISBLANK(Actuals!CM47),-160*Escalation!$B$87,Actuals!CM47)</f>
        <v>-180.18598708224</v>
      </c>
      <c r="CM229" s="21" t="n">
        <f aca="false">IF(ISBLANK(Actuals!CN47),-160*Escalation!$B$88,Actuals!CN47)</f>
        <v>-180.18598708224</v>
      </c>
      <c r="CN229" s="21" t="n">
        <f aca="false">IF(ISBLANK(Actuals!CO47),-160*Escalation!$B$89,Actuals!CO47)</f>
        <v>-180.18598708224</v>
      </c>
      <c r="CO229" s="21" t="n">
        <f aca="false">IF(ISBLANK(Actuals!CP47),-160*Escalation!$B$90,Actuals!CP47)</f>
        <v>-180.18598708224</v>
      </c>
      <c r="CP229" s="21" t="n">
        <f aca="false">IF(ISBLANK(Actuals!CQ47),-160*Escalation!$B$91,Actuals!CQ47)</f>
        <v>-180.18598708224</v>
      </c>
      <c r="CQ229" s="21" t="n">
        <f aca="false">IF(ISBLANK(Actuals!CR47),-160*Escalation!$B$92,Actuals!CR47)</f>
        <v>-180.18598708224</v>
      </c>
      <c r="CR229" s="21" t="n">
        <f aca="false">IF(ISBLANK(Actuals!CS47),-160*Escalation!$B$93,Actuals!CS47)</f>
        <v>-180.18598708224</v>
      </c>
      <c r="CS229" s="21" t="n">
        <f aca="false">IF(ISBLANK(Actuals!CT47),-160*Escalation!$B$94,Actuals!CT47)</f>
        <v>-180.18598708224</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-183.789706823885</v>
      </c>
      <c r="CX229" s="21" t="n">
        <f aca="false">IF(ISBLANK(Actuals!CY47),-160*Escalation!$B$99,Actuals!CY47)</f>
        <v>-183.789706823885</v>
      </c>
      <c r="CY229" s="21" t="n">
        <f aca="false">IF(ISBLANK(Actuals!CZ47),-160*Escalation!$B$100,Actuals!CZ47)</f>
        <v>-183.789706823885</v>
      </c>
      <c r="CZ229" s="21" t="n">
        <f aca="false">IF(ISBLANK(Actuals!DA47),-160*Escalation!$B$101,Actuals!DA47)</f>
        <v>-183.789706823885</v>
      </c>
      <c r="DA229" s="21" t="n">
        <f aca="false">IF(ISBLANK(Actuals!DB47),-160*Escalation!$B$102,Actuals!DB47)</f>
        <v>-183.789706823885</v>
      </c>
      <c r="DB229" s="21" t="n">
        <f aca="false">IF(ISBLANK(Actuals!DC47),-160*Escalation!$B$103,Actuals!DC47)</f>
        <v>-183.789706823885</v>
      </c>
      <c r="DC229" s="21" t="n">
        <f aca="false">IF(ISBLANK(Actuals!DD47),-160*Escalation!$B$104,Actuals!DD47)</f>
        <v>-183.789706823885</v>
      </c>
      <c r="DD229" s="21" t="n">
        <f aca="false">IF(ISBLANK(Actuals!DE47),-160*Escalation!$B$105,Actuals!DE47)</f>
        <v>-183.789706823885</v>
      </c>
      <c r="DE229" s="21" t="n">
        <f aca="false">IF(ISBLANK(Actuals!DF47),-160*Escalation!$B$106,Actuals!DF47)</f>
        <v>-183.789706823885</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-5000</v>
      </c>
      <c r="R230" s="21" t="n">
        <f aca="false">IF(ISBLANK(Actuals!S48),-5000*Escalation!$B$15,Actuals!S48)</f>
        <v>-5000</v>
      </c>
      <c r="S230" s="21" t="n">
        <f aca="false">IF(ISBLANK(Actuals!T48),-5000*Escalation!$B$16,Actuals!T48)</f>
        <v>-5000</v>
      </c>
      <c r="T230" s="21" t="n">
        <f aca="false">IF(ISBLANK(Actuals!U48),-5000*Escalation!$B$17,Actuals!U48)</f>
        <v>-5000</v>
      </c>
      <c r="U230" s="21" t="n">
        <f aca="false">IF(ISBLANK(Actuals!V48),-5000*Escalation!$B$18,Actuals!V48)</f>
        <v>-5000</v>
      </c>
      <c r="V230" s="21" t="n">
        <f aca="false">IF(ISBLANK(Actuals!W48),-5000*Escalation!$B$19,Actuals!W48)</f>
        <v>-5000</v>
      </c>
      <c r="W230" s="21" t="n">
        <f aca="false">IF(ISBLANK(Actuals!X48),-5000*Escalation!$B$20,Actuals!X48)</f>
        <v>-5000</v>
      </c>
      <c r="X230" s="21" t="n">
        <f aca="false">IF(ISBLANK(Actuals!Y48),-5000*Escalation!$B$21,Actuals!Y48)</f>
        <v>-5000</v>
      </c>
      <c r="Y230" s="21" t="n">
        <f aca="false">IF(ISBLANK(Actuals!Z48),-5000*Escalation!$B$22,Actuals!Z48)</f>
        <v>-5000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-5100</v>
      </c>
      <c r="AD230" s="21" t="n">
        <f aca="false">IF(ISBLANK(Actuals!AE48),-5000*Escalation!$B$27,Actuals!AE48)</f>
        <v>-5100</v>
      </c>
      <c r="AE230" s="21" t="n">
        <f aca="false">IF(ISBLANK(Actuals!AF48),-5000*Escalation!$B$28,Actuals!AF48)</f>
        <v>-5100</v>
      </c>
      <c r="AF230" s="21" t="n">
        <f aca="false">IF(ISBLANK(Actuals!AG48),-5000*Escalation!$B$29,Actuals!AG48)</f>
        <v>-5100</v>
      </c>
      <c r="AG230" s="21" t="n">
        <f aca="false">IF(ISBLANK(Actuals!AH48),-5000*Escalation!$B$30,Actuals!AH48)</f>
        <v>-5100</v>
      </c>
      <c r="AH230" s="21" t="n">
        <f aca="false">IF(ISBLANK(Actuals!AI48),-5000*Escalation!$B$31,Actuals!AI48)</f>
        <v>-5100</v>
      </c>
      <c r="AI230" s="21" t="n">
        <f aca="false">IF(ISBLANK(Actuals!AJ48),-5000*Escalation!$B$32,Actuals!AJ48)</f>
        <v>-5100</v>
      </c>
      <c r="AJ230" s="21" t="n">
        <f aca="false">IF(ISBLANK(Actuals!AK48),-5000*Escalation!$B$33,Actuals!AK48)</f>
        <v>-5100</v>
      </c>
      <c r="AK230" s="21" t="n">
        <f aca="false">IF(ISBLANK(Actuals!AL48),-5000*Escalation!$B$34,Actuals!AL48)</f>
        <v>-5100</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-5202</v>
      </c>
      <c r="AP230" s="21" t="n">
        <f aca="false">IF(ISBLANK(Actuals!AQ48),-5000*Escalation!$B$39,Actuals!AQ48)</f>
        <v>-5202</v>
      </c>
      <c r="AQ230" s="21" t="n">
        <f aca="false">IF(ISBLANK(Actuals!AR48),-5000*Escalation!$B$40,Actuals!AR48)</f>
        <v>-5202</v>
      </c>
      <c r="AR230" s="21" t="n">
        <f aca="false">IF(ISBLANK(Actuals!AS48),-5000*Escalation!$B$41,Actuals!AS48)</f>
        <v>-5202</v>
      </c>
      <c r="AS230" s="21" t="n">
        <f aca="false">IF(ISBLANK(Actuals!AT48),-5000*Escalation!$B$42,Actuals!AT48)</f>
        <v>-5202</v>
      </c>
      <c r="AT230" s="21" t="n">
        <f aca="false">IF(ISBLANK(Actuals!AU48),-5000*Escalation!$B$43,Actuals!AU48)</f>
        <v>-5202</v>
      </c>
      <c r="AU230" s="21" t="n">
        <f aca="false">IF(ISBLANK(Actuals!AV48),-5000*Escalation!$B$44,Actuals!AV48)</f>
        <v>-5202</v>
      </c>
      <c r="AV230" s="21" t="n">
        <f aca="false">IF(ISBLANK(Actuals!AW48),-5000*Escalation!$B$45,Actuals!AW48)</f>
        <v>-5202</v>
      </c>
      <c r="AW230" s="21" t="n">
        <f aca="false">IF(ISBLANK(Actuals!AX48),-5000*Escalation!$B$46,Actuals!AX48)</f>
        <v>-5202</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-5306.04</v>
      </c>
      <c r="BB230" s="21" t="n">
        <f aca="false">IF(ISBLANK(Actuals!BC48),-5000*Escalation!$B$51,Actuals!BC48)</f>
        <v>-5306.04</v>
      </c>
      <c r="BC230" s="21" t="n">
        <f aca="false">IF(ISBLANK(Actuals!BD48),-5000*Escalation!$B$52,Actuals!BD48)</f>
        <v>-5306.04</v>
      </c>
      <c r="BD230" s="21" t="n">
        <f aca="false">IF(ISBLANK(Actuals!BE48),-5000*Escalation!$B$53,Actuals!BE48)</f>
        <v>-5306.04</v>
      </c>
      <c r="BE230" s="21" t="n">
        <f aca="false">IF(ISBLANK(Actuals!BF48),-5000*Escalation!$B$54,Actuals!BF48)</f>
        <v>-5306.04</v>
      </c>
      <c r="BF230" s="21" t="n">
        <f aca="false">IF(ISBLANK(Actuals!BG48),-5000*Escalation!$B$55,Actuals!BG48)</f>
        <v>-5306.04</v>
      </c>
      <c r="BG230" s="21" t="n">
        <f aca="false">IF(ISBLANK(Actuals!BH48),-5000*Escalation!$B$56,Actuals!BH48)</f>
        <v>-5306.04</v>
      </c>
      <c r="BH230" s="21" t="n">
        <f aca="false">IF(ISBLANK(Actuals!BI48),-5000*Escalation!$B$57,Actuals!BI48)</f>
        <v>-5306.04</v>
      </c>
      <c r="BI230" s="21" t="n">
        <f aca="false">IF(ISBLANK(Actuals!BJ48),-5000*Escalation!$B$58,Actuals!BJ48)</f>
        <v>-5306.04</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-5412.1608</v>
      </c>
      <c r="BN230" s="21" t="n">
        <f aca="false">IF(ISBLANK(Actuals!BO48),-5000*Escalation!$B$63,Actuals!BO48)</f>
        <v>-5412.1608</v>
      </c>
      <c r="BO230" s="21" t="n">
        <f aca="false">IF(ISBLANK(Actuals!BP48),-5000*Escalation!$B$64,Actuals!BP48)</f>
        <v>-5412.1608</v>
      </c>
      <c r="BP230" s="21" t="n">
        <f aca="false">IF(ISBLANK(Actuals!BQ48),-5000*Escalation!$B$65,Actuals!BQ48)</f>
        <v>-5412.1608</v>
      </c>
      <c r="BQ230" s="21" t="n">
        <f aca="false">IF(ISBLANK(Actuals!BR48),-5000*Escalation!$B$66,Actuals!BR48)</f>
        <v>-5412.1608</v>
      </c>
      <c r="BR230" s="21" t="n">
        <f aca="false">IF(ISBLANK(Actuals!BS48),-5000*Escalation!$B$67,Actuals!BS48)</f>
        <v>-5412.1608</v>
      </c>
      <c r="BS230" s="21" t="n">
        <f aca="false">IF(ISBLANK(Actuals!BT48),-5000*Escalation!$B$68,Actuals!BT48)</f>
        <v>-5412.1608</v>
      </c>
      <c r="BT230" s="21" t="n">
        <f aca="false">IF(ISBLANK(Actuals!BU48),-5000*Escalation!$B$69,Actuals!BU48)</f>
        <v>-5412.1608</v>
      </c>
      <c r="BU230" s="21" t="n">
        <f aca="false">IF(ISBLANK(Actuals!BV48),-5000*Escalation!$B$70,Actuals!BV48)</f>
        <v>-5412.1608</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-5520.404016</v>
      </c>
      <c r="BZ230" s="21" t="n">
        <f aca="false">IF(ISBLANK(Actuals!CA48),-5000*Escalation!$B$75,Actuals!CA48)</f>
        <v>-5520.404016</v>
      </c>
      <c r="CA230" s="21" t="n">
        <f aca="false">IF(ISBLANK(Actuals!CB48),-5000*Escalation!$B$76,Actuals!CB48)</f>
        <v>-5520.404016</v>
      </c>
      <c r="CB230" s="21" t="n">
        <f aca="false">IF(ISBLANK(Actuals!CC48),-5000*Escalation!$B$77,Actuals!CC48)</f>
        <v>-5520.404016</v>
      </c>
      <c r="CC230" s="21" t="n">
        <f aca="false">IF(ISBLANK(Actuals!CD48),-5000*Escalation!$B$78,Actuals!CD48)</f>
        <v>-5520.404016</v>
      </c>
      <c r="CD230" s="21" t="n">
        <f aca="false">IF(ISBLANK(Actuals!CE48),-5000*Escalation!$B$79,Actuals!CE48)</f>
        <v>-5520.404016</v>
      </c>
      <c r="CE230" s="21" t="n">
        <f aca="false">IF(ISBLANK(Actuals!CF48),-5000*Escalation!$B$80,Actuals!CF48)</f>
        <v>-5520.404016</v>
      </c>
      <c r="CF230" s="21" t="n">
        <f aca="false">IF(ISBLANK(Actuals!CG48),-5000*Escalation!$B$81,Actuals!CG48)</f>
        <v>-5520.404016</v>
      </c>
      <c r="CG230" s="21" t="n">
        <f aca="false">IF(ISBLANK(Actuals!CH48),-5000*Escalation!$B$82,Actuals!CH48)</f>
        <v>-5520.404016</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-5630.81209632</v>
      </c>
      <c r="CL230" s="21" t="n">
        <f aca="false">IF(ISBLANK(Actuals!CM48),-5000*Escalation!$B$87,Actuals!CM48)</f>
        <v>-5630.81209632</v>
      </c>
      <c r="CM230" s="21" t="n">
        <f aca="false">IF(ISBLANK(Actuals!CN48),-5000*Escalation!$B$88,Actuals!CN48)</f>
        <v>-5630.81209632</v>
      </c>
      <c r="CN230" s="21" t="n">
        <f aca="false">IF(ISBLANK(Actuals!CO48),-5000*Escalation!$B$89,Actuals!CO48)</f>
        <v>-5630.81209632</v>
      </c>
      <c r="CO230" s="21" t="n">
        <f aca="false">IF(ISBLANK(Actuals!CP48),-5000*Escalation!$B$90,Actuals!CP48)</f>
        <v>-5630.81209632</v>
      </c>
      <c r="CP230" s="21" t="n">
        <f aca="false">IF(ISBLANK(Actuals!CQ48),-5000*Escalation!$B$91,Actuals!CQ48)</f>
        <v>-5630.81209632</v>
      </c>
      <c r="CQ230" s="21" t="n">
        <f aca="false">IF(ISBLANK(Actuals!CR48),-5000*Escalation!$B$92,Actuals!CR48)</f>
        <v>-5630.81209632</v>
      </c>
      <c r="CR230" s="21" t="n">
        <f aca="false">IF(ISBLANK(Actuals!CS48),-5000*Escalation!$B$93,Actuals!CS48)</f>
        <v>-5630.81209632</v>
      </c>
      <c r="CS230" s="21" t="n">
        <f aca="false">IF(ISBLANK(Actuals!CT48),-5000*Escalation!$B$94,Actuals!CT48)</f>
        <v>-5630.81209632</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-5743.4283382464</v>
      </c>
      <c r="CX230" s="21" t="n">
        <f aca="false">IF(ISBLANK(Actuals!CY48),-5000*Escalation!$B$99,Actuals!CY48)</f>
        <v>-5743.4283382464</v>
      </c>
      <c r="CY230" s="21" t="n">
        <f aca="false">IF(ISBLANK(Actuals!CZ48),-5000*Escalation!$B$100,Actuals!CZ48)</f>
        <v>-5743.4283382464</v>
      </c>
      <c r="CZ230" s="21" t="n">
        <f aca="false">IF(ISBLANK(Actuals!DA48),-5000*Escalation!$B$101,Actuals!DA48)</f>
        <v>-5743.4283382464</v>
      </c>
      <c r="DA230" s="21" t="n">
        <f aca="false">IF(ISBLANK(Actuals!DB48),-5000*Escalation!$B$102,Actuals!DB48)</f>
        <v>-5743.4283382464</v>
      </c>
      <c r="DB230" s="21" t="n">
        <f aca="false">IF(ISBLANK(Actuals!DC48),-5000*Escalation!$B$103,Actuals!DC48)</f>
        <v>-5743.4283382464</v>
      </c>
      <c r="DC230" s="21" t="n">
        <f aca="false">IF(ISBLANK(Actuals!DD48),-5000*Escalation!$B$104,Actuals!DD48)</f>
        <v>-5743.4283382464</v>
      </c>
      <c r="DD230" s="21" t="n">
        <f aca="false">IF(ISBLANK(Actuals!DE48),-5000*Escalation!$B$105,Actuals!DE48)</f>
        <v>-5743.4283382464</v>
      </c>
      <c r="DE230" s="21" t="n">
        <f aca="false">IF(ISBLANK(Actuals!DF48),-5000*Escalation!$B$106,Actuals!DF48)</f>
        <v>-5743.4283382464</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-417.6</v>
      </c>
      <c r="R231" s="21" t="n">
        <f aca="false">IF(ISBLANK(Actuals!S49),-417.6*Escalation!$B$15,Actuals!S49)</f>
        <v>-417.6</v>
      </c>
      <c r="S231" s="21" t="n">
        <f aca="false">IF(ISBLANK(Actuals!T49),-417.6*Escalation!$B$16,Actuals!T49)</f>
        <v>-417.6</v>
      </c>
      <c r="T231" s="21" t="n">
        <f aca="false">IF(ISBLANK(Actuals!U49),-417.6*Escalation!$B$17,Actuals!U49)</f>
        <v>-417.6</v>
      </c>
      <c r="U231" s="21" t="n">
        <f aca="false">IF(ISBLANK(Actuals!V49),-417.6*Escalation!$B$18,Actuals!V49)</f>
        <v>-417.6</v>
      </c>
      <c r="V231" s="21" t="n">
        <f aca="false">IF(ISBLANK(Actuals!W49),-417.6*Escalation!$B$19,Actuals!W49)</f>
        <v>-417.6</v>
      </c>
      <c r="W231" s="21" t="n">
        <f aca="false">IF(ISBLANK(Actuals!X49),-417.6*Escalation!$B$20,Actuals!X49)</f>
        <v>-417.6</v>
      </c>
      <c r="X231" s="21" t="n">
        <f aca="false">IF(ISBLANK(Actuals!Y49),-417.6*Escalation!$B$21,Actuals!Y49)</f>
        <v>-417.6</v>
      </c>
      <c r="Y231" s="21" t="n">
        <f aca="false">IF(ISBLANK(Actuals!Z49),-417.6*Escalation!$B$22,Actuals!Z49)</f>
        <v>-417.6</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-425.952</v>
      </c>
      <c r="AD231" s="21" t="n">
        <f aca="false">IF(ISBLANK(Actuals!AE49),-417.6*Escalation!$B$27,Actuals!AE49)</f>
        <v>-425.952</v>
      </c>
      <c r="AE231" s="21" t="n">
        <f aca="false">IF(ISBLANK(Actuals!AF49),-417.6*Escalation!$B$28,Actuals!AF49)</f>
        <v>-425.952</v>
      </c>
      <c r="AF231" s="21" t="n">
        <f aca="false">IF(ISBLANK(Actuals!AG49),-417.6*Escalation!$B$29,Actuals!AG49)</f>
        <v>-425.952</v>
      </c>
      <c r="AG231" s="21" t="n">
        <f aca="false">IF(ISBLANK(Actuals!AH49),-417.6*Escalation!$B$30,Actuals!AH49)</f>
        <v>-425.952</v>
      </c>
      <c r="AH231" s="21" t="n">
        <f aca="false">IF(ISBLANK(Actuals!AI49),-417.6*Escalation!$B$31,Actuals!AI49)</f>
        <v>-425.952</v>
      </c>
      <c r="AI231" s="21" t="n">
        <f aca="false">IF(ISBLANK(Actuals!AJ49),-417.6*Escalation!$B$32,Actuals!AJ49)</f>
        <v>-425.952</v>
      </c>
      <c r="AJ231" s="21" t="n">
        <f aca="false">IF(ISBLANK(Actuals!AK49),-417.6*Escalation!$B$33,Actuals!AK49)</f>
        <v>-425.952</v>
      </c>
      <c r="AK231" s="21" t="n">
        <f aca="false">IF(ISBLANK(Actuals!AL49),-417.6*Escalation!$B$34,Actuals!AL49)</f>
        <v>-425.952</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-434.47104</v>
      </c>
      <c r="AP231" s="21" t="n">
        <f aca="false">IF(ISBLANK(Actuals!AQ49),-417.6*Escalation!$B$39,Actuals!AQ49)</f>
        <v>-434.47104</v>
      </c>
      <c r="AQ231" s="21" t="n">
        <f aca="false">IF(ISBLANK(Actuals!AR49),-417.6*Escalation!$B$40,Actuals!AR49)</f>
        <v>-434.47104</v>
      </c>
      <c r="AR231" s="21" t="n">
        <f aca="false">IF(ISBLANK(Actuals!AS49),-417.6*Escalation!$B$41,Actuals!AS49)</f>
        <v>-434.47104</v>
      </c>
      <c r="AS231" s="21" t="n">
        <f aca="false">IF(ISBLANK(Actuals!AT49),-417.6*Escalation!$B$42,Actuals!AT49)</f>
        <v>-434.47104</v>
      </c>
      <c r="AT231" s="21" t="n">
        <f aca="false">IF(ISBLANK(Actuals!AU49),-417.6*Escalation!$B$43,Actuals!AU49)</f>
        <v>-434.47104</v>
      </c>
      <c r="AU231" s="21" t="n">
        <f aca="false">IF(ISBLANK(Actuals!AV49),-417.6*Escalation!$B$44,Actuals!AV49)</f>
        <v>-434.47104</v>
      </c>
      <c r="AV231" s="21" t="n">
        <f aca="false">IF(ISBLANK(Actuals!AW49),-417.6*Escalation!$B$45,Actuals!AW49)</f>
        <v>-434.47104</v>
      </c>
      <c r="AW231" s="21" t="n">
        <f aca="false">IF(ISBLANK(Actuals!AX49),-417.6*Escalation!$B$46,Actuals!AX49)</f>
        <v>-434.47104</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-443.1604608</v>
      </c>
      <c r="BB231" s="21" t="n">
        <f aca="false">IF(ISBLANK(Actuals!BC49),-417.6*Escalation!$B$51,Actuals!BC49)</f>
        <v>-443.1604608</v>
      </c>
      <c r="BC231" s="21" t="n">
        <f aca="false">IF(ISBLANK(Actuals!BD49),-417.6*Escalation!$B$52,Actuals!BD49)</f>
        <v>-443.1604608</v>
      </c>
      <c r="BD231" s="21" t="n">
        <f aca="false">IF(ISBLANK(Actuals!BE49),-417.6*Escalation!$B$53,Actuals!BE49)</f>
        <v>-443.1604608</v>
      </c>
      <c r="BE231" s="21" t="n">
        <f aca="false">IF(ISBLANK(Actuals!BF49),-417.6*Escalation!$B$54,Actuals!BF49)</f>
        <v>-443.1604608</v>
      </c>
      <c r="BF231" s="21" t="n">
        <f aca="false">IF(ISBLANK(Actuals!BG49),-417.6*Escalation!$B$55,Actuals!BG49)</f>
        <v>-443.1604608</v>
      </c>
      <c r="BG231" s="21" t="n">
        <f aca="false">IF(ISBLANK(Actuals!BH49),-417.6*Escalation!$B$56,Actuals!BH49)</f>
        <v>-443.1604608</v>
      </c>
      <c r="BH231" s="21" t="n">
        <f aca="false">IF(ISBLANK(Actuals!BI49),-417.6*Escalation!$B$57,Actuals!BI49)</f>
        <v>-443.1604608</v>
      </c>
      <c r="BI231" s="21" t="n">
        <f aca="false">IF(ISBLANK(Actuals!BJ49),-417.6*Escalation!$B$58,Actuals!BJ49)</f>
        <v>-443.1604608</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-452.023670016</v>
      </c>
      <c r="BN231" s="21" t="n">
        <f aca="false">IF(ISBLANK(Actuals!BO49),-417.6*Escalation!$B$63,Actuals!BO49)</f>
        <v>-452.023670016</v>
      </c>
      <c r="BO231" s="21" t="n">
        <f aca="false">IF(ISBLANK(Actuals!BP49),-417.6*Escalation!$B$64,Actuals!BP49)</f>
        <v>-452.023670016</v>
      </c>
      <c r="BP231" s="21" t="n">
        <f aca="false">IF(ISBLANK(Actuals!BQ49),-417.6*Escalation!$B$65,Actuals!BQ49)</f>
        <v>-452.023670016</v>
      </c>
      <c r="BQ231" s="21" t="n">
        <f aca="false">IF(ISBLANK(Actuals!BR49),-417.6*Escalation!$B$66,Actuals!BR49)</f>
        <v>-452.023670016</v>
      </c>
      <c r="BR231" s="21" t="n">
        <f aca="false">IF(ISBLANK(Actuals!BS49),-417.6*Escalation!$B$67,Actuals!BS49)</f>
        <v>-452.023670016</v>
      </c>
      <c r="BS231" s="21" t="n">
        <f aca="false">IF(ISBLANK(Actuals!BT49),-417.6*Escalation!$B$68,Actuals!BT49)</f>
        <v>-452.023670016</v>
      </c>
      <c r="BT231" s="21" t="n">
        <f aca="false">IF(ISBLANK(Actuals!BU49),-417.6*Escalation!$B$69,Actuals!BU49)</f>
        <v>-452.023670016</v>
      </c>
      <c r="BU231" s="21" t="n">
        <f aca="false">IF(ISBLANK(Actuals!BV49),-417.6*Escalation!$B$70,Actuals!BV49)</f>
        <v>-452.023670016</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-461.06414341632</v>
      </c>
      <c r="BZ231" s="21" t="n">
        <f aca="false">IF(ISBLANK(Actuals!CA49),-417.6*Escalation!$B$75,Actuals!CA49)</f>
        <v>-461.06414341632</v>
      </c>
      <c r="CA231" s="21" t="n">
        <f aca="false">IF(ISBLANK(Actuals!CB49),-417.6*Escalation!$B$76,Actuals!CB49)</f>
        <v>-461.06414341632</v>
      </c>
      <c r="CB231" s="21" t="n">
        <f aca="false">IF(ISBLANK(Actuals!CC49),-417.6*Escalation!$B$77,Actuals!CC49)</f>
        <v>-461.06414341632</v>
      </c>
      <c r="CC231" s="21" t="n">
        <f aca="false">IF(ISBLANK(Actuals!CD49),-417.6*Escalation!$B$78,Actuals!CD49)</f>
        <v>-461.06414341632</v>
      </c>
      <c r="CD231" s="21" t="n">
        <f aca="false">IF(ISBLANK(Actuals!CE49),-417.6*Escalation!$B$79,Actuals!CE49)</f>
        <v>-461.06414341632</v>
      </c>
      <c r="CE231" s="21" t="n">
        <f aca="false">IF(ISBLANK(Actuals!CF49),-417.6*Escalation!$B$80,Actuals!CF49)</f>
        <v>-461.06414341632</v>
      </c>
      <c r="CF231" s="21" t="n">
        <f aca="false">IF(ISBLANK(Actuals!CG49),-417.6*Escalation!$B$81,Actuals!CG49)</f>
        <v>-461.06414341632</v>
      </c>
      <c r="CG231" s="21" t="n">
        <f aca="false">IF(ISBLANK(Actuals!CH49),-417.6*Escalation!$B$82,Actuals!CH49)</f>
        <v>-461.06414341632</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-470.285426284646</v>
      </c>
      <c r="CL231" s="21" t="n">
        <f aca="false">IF(ISBLANK(Actuals!CM49),-417.6*Escalation!$B$87,Actuals!CM49)</f>
        <v>-470.285426284646</v>
      </c>
      <c r="CM231" s="21" t="n">
        <f aca="false">IF(ISBLANK(Actuals!CN49),-417.6*Escalation!$B$88,Actuals!CN49)</f>
        <v>-470.285426284646</v>
      </c>
      <c r="CN231" s="21" t="n">
        <f aca="false">IF(ISBLANK(Actuals!CO49),-417.6*Escalation!$B$89,Actuals!CO49)</f>
        <v>-470.285426284646</v>
      </c>
      <c r="CO231" s="21" t="n">
        <f aca="false">IF(ISBLANK(Actuals!CP49),-417.6*Escalation!$B$90,Actuals!CP49)</f>
        <v>-470.285426284646</v>
      </c>
      <c r="CP231" s="21" t="n">
        <f aca="false">IF(ISBLANK(Actuals!CQ49),-417.6*Escalation!$B$91,Actuals!CQ49)</f>
        <v>-470.285426284646</v>
      </c>
      <c r="CQ231" s="21" t="n">
        <f aca="false">IF(ISBLANK(Actuals!CR49),-417.6*Escalation!$B$92,Actuals!CR49)</f>
        <v>-470.285426284646</v>
      </c>
      <c r="CR231" s="21" t="n">
        <f aca="false">IF(ISBLANK(Actuals!CS49),-417.6*Escalation!$B$93,Actuals!CS49)</f>
        <v>-470.285426284646</v>
      </c>
      <c r="CS231" s="21" t="n">
        <f aca="false">IF(ISBLANK(Actuals!CT49),-417.6*Escalation!$B$94,Actuals!CT49)</f>
        <v>-470.285426284646</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-479.691134810339</v>
      </c>
      <c r="CX231" s="21" t="n">
        <f aca="false">IF(ISBLANK(Actuals!CY49),-417.6*Escalation!$B$99,Actuals!CY49)</f>
        <v>-479.691134810339</v>
      </c>
      <c r="CY231" s="21" t="n">
        <f aca="false">IF(ISBLANK(Actuals!CZ49),-417.6*Escalation!$B$100,Actuals!CZ49)</f>
        <v>-479.691134810339</v>
      </c>
      <c r="CZ231" s="21" t="n">
        <f aca="false">IF(ISBLANK(Actuals!DA49),-417.6*Escalation!$B$101,Actuals!DA49)</f>
        <v>-479.691134810339</v>
      </c>
      <c r="DA231" s="21" t="n">
        <f aca="false">IF(ISBLANK(Actuals!DB49),-417.6*Escalation!$B$102,Actuals!DB49)</f>
        <v>-479.691134810339</v>
      </c>
      <c r="DB231" s="21" t="n">
        <f aca="false">IF(ISBLANK(Actuals!DC49),-417.6*Escalation!$B$103,Actuals!DC49)</f>
        <v>-479.691134810339</v>
      </c>
      <c r="DC231" s="21" t="n">
        <f aca="false">IF(ISBLANK(Actuals!DD49),-417.6*Escalation!$B$104,Actuals!DD49)</f>
        <v>-479.691134810339</v>
      </c>
      <c r="DD231" s="21" t="n">
        <f aca="false">IF(ISBLANK(Actuals!DE49),-417.6*Escalation!$B$105,Actuals!DE49)</f>
        <v>-479.691134810339</v>
      </c>
      <c r="DE231" s="21" t="n">
        <f aca="false">IF(ISBLANK(Actuals!DF49),-417.6*Escalation!$B$106,Actuals!DF49)</f>
        <v>-479.691134810339</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-26.67</v>
      </c>
      <c r="R232" s="21" t="n">
        <f aca="false">IF(ISBLANK(Actuals!S50),-26.67*Escalation!$B$15,Actuals!S50)</f>
        <v>-26.67</v>
      </c>
      <c r="S232" s="21" t="n">
        <f aca="false">IF(ISBLANK(Actuals!T50),-26.67*Escalation!$B$16,Actuals!T50)</f>
        <v>-26.67</v>
      </c>
      <c r="T232" s="21" t="n">
        <f aca="false">IF(ISBLANK(Actuals!U50),-26.67*Escalation!$B$17,Actuals!U50)</f>
        <v>-26.67</v>
      </c>
      <c r="U232" s="21" t="n">
        <f aca="false">IF(ISBLANK(Actuals!V50),-26.67*Escalation!$B$18,Actuals!V50)</f>
        <v>-26.67</v>
      </c>
      <c r="V232" s="21" t="n">
        <f aca="false">IF(ISBLANK(Actuals!W50),-26.67*Escalation!$B$19,Actuals!W50)</f>
        <v>-26.67</v>
      </c>
      <c r="W232" s="21" t="n">
        <f aca="false">IF(ISBLANK(Actuals!X50),-26.67*Escalation!$B$20,Actuals!X50)</f>
        <v>-26.67</v>
      </c>
      <c r="X232" s="21" t="n">
        <f aca="false">IF(ISBLANK(Actuals!Y50),-26.67*Escalation!$B$21,Actuals!Y50)</f>
        <v>-26.67</v>
      </c>
      <c r="Y232" s="21" t="n">
        <f aca="false">IF(ISBLANK(Actuals!Z50),-26.67*Escalation!$B$22,Actuals!Z50)</f>
        <v>-26.67</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-27.2034</v>
      </c>
      <c r="AD232" s="21" t="n">
        <f aca="false">IF(ISBLANK(Actuals!AE50),-26.67*Escalation!$B$27,Actuals!AE50)</f>
        <v>-27.2034</v>
      </c>
      <c r="AE232" s="21" t="n">
        <f aca="false">IF(ISBLANK(Actuals!AF50),-26.67*Escalation!$B$28,Actuals!AF50)</f>
        <v>-27.2034</v>
      </c>
      <c r="AF232" s="21" t="n">
        <f aca="false">IF(ISBLANK(Actuals!AG50),-26.67*Escalation!$B$29,Actuals!AG50)</f>
        <v>-27.2034</v>
      </c>
      <c r="AG232" s="21" t="n">
        <f aca="false">IF(ISBLANK(Actuals!AH50),-26.67*Escalation!$B$30,Actuals!AH50)</f>
        <v>-27.2034</v>
      </c>
      <c r="AH232" s="21" t="n">
        <f aca="false">IF(ISBLANK(Actuals!AI50),-26.67*Escalation!$B$31,Actuals!AI50)</f>
        <v>-27.2034</v>
      </c>
      <c r="AI232" s="21" t="n">
        <f aca="false">IF(ISBLANK(Actuals!AJ50),-26.67*Escalation!$B$32,Actuals!AJ50)</f>
        <v>-27.2034</v>
      </c>
      <c r="AJ232" s="21" t="n">
        <f aca="false">IF(ISBLANK(Actuals!AK50),-26.67*Escalation!$B$33,Actuals!AK50)</f>
        <v>-27.2034</v>
      </c>
      <c r="AK232" s="21" t="n">
        <f aca="false">IF(ISBLANK(Actuals!AL50),-26.67*Escalation!$B$34,Actuals!AL50)</f>
        <v>-27.2034</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-27.747468</v>
      </c>
      <c r="AP232" s="21" t="n">
        <f aca="false">IF(ISBLANK(Actuals!AQ50),-26.67*Escalation!$B$39,Actuals!AQ50)</f>
        <v>-27.747468</v>
      </c>
      <c r="AQ232" s="21" t="n">
        <f aca="false">IF(ISBLANK(Actuals!AR50),-26.67*Escalation!$B$40,Actuals!AR50)</f>
        <v>-27.747468</v>
      </c>
      <c r="AR232" s="21" t="n">
        <f aca="false">IF(ISBLANK(Actuals!AS50),-26.67*Escalation!$B$41,Actuals!AS50)</f>
        <v>-27.747468</v>
      </c>
      <c r="AS232" s="21" t="n">
        <f aca="false">IF(ISBLANK(Actuals!AT50),-26.67*Escalation!$B$42,Actuals!AT50)</f>
        <v>-27.747468</v>
      </c>
      <c r="AT232" s="21" t="n">
        <f aca="false">IF(ISBLANK(Actuals!AU50),-26.67*Escalation!$B$43,Actuals!AU50)</f>
        <v>-27.747468</v>
      </c>
      <c r="AU232" s="21" t="n">
        <f aca="false">IF(ISBLANK(Actuals!AV50),-26.67*Escalation!$B$44,Actuals!AV50)</f>
        <v>-27.747468</v>
      </c>
      <c r="AV232" s="21" t="n">
        <f aca="false">IF(ISBLANK(Actuals!AW50),-26.67*Escalation!$B$45,Actuals!AW50)</f>
        <v>-27.747468</v>
      </c>
      <c r="AW232" s="21" t="n">
        <f aca="false">IF(ISBLANK(Actuals!AX50),-26.67*Escalation!$B$46,Actuals!AX50)</f>
        <v>-27.747468</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-28.30241736</v>
      </c>
      <c r="BB232" s="21" t="n">
        <f aca="false">IF(ISBLANK(Actuals!BC50),-26.67*Escalation!$B$51,Actuals!BC50)</f>
        <v>-28.30241736</v>
      </c>
      <c r="BC232" s="21" t="n">
        <f aca="false">IF(ISBLANK(Actuals!BD50),-26.67*Escalation!$B$52,Actuals!BD50)</f>
        <v>-28.30241736</v>
      </c>
      <c r="BD232" s="21" t="n">
        <f aca="false">IF(ISBLANK(Actuals!BE50),-26.67*Escalation!$B$53,Actuals!BE50)</f>
        <v>-28.30241736</v>
      </c>
      <c r="BE232" s="21" t="n">
        <f aca="false">IF(ISBLANK(Actuals!BF50),-26.67*Escalation!$B$54,Actuals!BF50)</f>
        <v>-28.30241736</v>
      </c>
      <c r="BF232" s="21" t="n">
        <f aca="false">IF(ISBLANK(Actuals!BG50),-26.67*Escalation!$B$55,Actuals!BG50)</f>
        <v>-28.30241736</v>
      </c>
      <c r="BG232" s="21" t="n">
        <f aca="false">IF(ISBLANK(Actuals!BH50),-26.67*Escalation!$B$56,Actuals!BH50)</f>
        <v>-28.30241736</v>
      </c>
      <c r="BH232" s="21" t="n">
        <f aca="false">IF(ISBLANK(Actuals!BI50),-26.67*Escalation!$B$57,Actuals!BI50)</f>
        <v>-28.30241736</v>
      </c>
      <c r="BI232" s="21" t="n">
        <f aca="false">IF(ISBLANK(Actuals!BJ50),-26.67*Escalation!$B$58,Actuals!BJ50)</f>
        <v>-28.30241736</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-28.8684657072</v>
      </c>
      <c r="BN232" s="21" t="n">
        <f aca="false">IF(ISBLANK(Actuals!BO50),-26.67*Escalation!$B$63,Actuals!BO50)</f>
        <v>-28.8684657072</v>
      </c>
      <c r="BO232" s="21" t="n">
        <f aca="false">IF(ISBLANK(Actuals!BP50),-26.67*Escalation!$B$64,Actuals!BP50)</f>
        <v>-28.8684657072</v>
      </c>
      <c r="BP232" s="21" t="n">
        <f aca="false">IF(ISBLANK(Actuals!BQ50),-26.67*Escalation!$B$65,Actuals!BQ50)</f>
        <v>-28.8684657072</v>
      </c>
      <c r="BQ232" s="21" t="n">
        <f aca="false">IF(ISBLANK(Actuals!BR50),-26.67*Escalation!$B$66,Actuals!BR50)</f>
        <v>-28.8684657072</v>
      </c>
      <c r="BR232" s="21" t="n">
        <f aca="false">IF(ISBLANK(Actuals!BS50),-26.67*Escalation!$B$67,Actuals!BS50)</f>
        <v>-28.8684657072</v>
      </c>
      <c r="BS232" s="21" t="n">
        <f aca="false">IF(ISBLANK(Actuals!BT50),-26.67*Escalation!$B$68,Actuals!BT50)</f>
        <v>-28.8684657072</v>
      </c>
      <c r="BT232" s="21" t="n">
        <f aca="false">IF(ISBLANK(Actuals!BU50),-26.67*Escalation!$B$69,Actuals!BU50)</f>
        <v>-28.8684657072</v>
      </c>
      <c r="BU232" s="21" t="n">
        <f aca="false">IF(ISBLANK(Actuals!BV50),-26.67*Escalation!$B$70,Actuals!BV50)</f>
        <v>-28.8684657072</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-29.445835021344</v>
      </c>
      <c r="BZ232" s="21" t="n">
        <f aca="false">IF(ISBLANK(Actuals!CA50),-26.67*Escalation!$B$75,Actuals!CA50)</f>
        <v>-29.445835021344</v>
      </c>
      <c r="CA232" s="21" t="n">
        <f aca="false">IF(ISBLANK(Actuals!CB50),-26.67*Escalation!$B$76,Actuals!CB50)</f>
        <v>-29.445835021344</v>
      </c>
      <c r="CB232" s="21" t="n">
        <f aca="false">IF(ISBLANK(Actuals!CC50),-26.67*Escalation!$B$77,Actuals!CC50)</f>
        <v>-29.445835021344</v>
      </c>
      <c r="CC232" s="21" t="n">
        <f aca="false">IF(ISBLANK(Actuals!CD50),-26.67*Escalation!$B$78,Actuals!CD50)</f>
        <v>-29.445835021344</v>
      </c>
      <c r="CD232" s="21" t="n">
        <f aca="false">IF(ISBLANK(Actuals!CE50),-26.67*Escalation!$B$79,Actuals!CE50)</f>
        <v>-29.445835021344</v>
      </c>
      <c r="CE232" s="21" t="n">
        <f aca="false">IF(ISBLANK(Actuals!CF50),-26.67*Escalation!$B$80,Actuals!CF50)</f>
        <v>-29.445835021344</v>
      </c>
      <c r="CF232" s="21" t="n">
        <f aca="false">IF(ISBLANK(Actuals!CG50),-26.67*Escalation!$B$81,Actuals!CG50)</f>
        <v>-29.445835021344</v>
      </c>
      <c r="CG232" s="21" t="n">
        <f aca="false">IF(ISBLANK(Actuals!CH50),-26.67*Escalation!$B$82,Actuals!CH50)</f>
        <v>-29.445835021344</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-30.0347517217709</v>
      </c>
      <c r="CL232" s="21" t="n">
        <f aca="false">IF(ISBLANK(Actuals!CM50),-26.67*Escalation!$B$87,Actuals!CM50)</f>
        <v>-30.0347517217709</v>
      </c>
      <c r="CM232" s="21" t="n">
        <f aca="false">IF(ISBLANK(Actuals!CN50),-26.67*Escalation!$B$88,Actuals!CN50)</f>
        <v>-30.0347517217709</v>
      </c>
      <c r="CN232" s="21" t="n">
        <f aca="false">IF(ISBLANK(Actuals!CO50),-26.67*Escalation!$B$89,Actuals!CO50)</f>
        <v>-30.0347517217709</v>
      </c>
      <c r="CO232" s="21" t="n">
        <f aca="false">IF(ISBLANK(Actuals!CP50),-26.67*Escalation!$B$90,Actuals!CP50)</f>
        <v>-30.0347517217709</v>
      </c>
      <c r="CP232" s="21" t="n">
        <f aca="false">IF(ISBLANK(Actuals!CQ50),-26.67*Escalation!$B$91,Actuals!CQ50)</f>
        <v>-30.0347517217709</v>
      </c>
      <c r="CQ232" s="21" t="n">
        <f aca="false">IF(ISBLANK(Actuals!CR50),-26.67*Escalation!$B$92,Actuals!CR50)</f>
        <v>-30.0347517217709</v>
      </c>
      <c r="CR232" s="21" t="n">
        <f aca="false">IF(ISBLANK(Actuals!CS50),-26.67*Escalation!$B$93,Actuals!CS50)</f>
        <v>-30.0347517217709</v>
      </c>
      <c r="CS232" s="21" t="n">
        <f aca="false">IF(ISBLANK(Actuals!CT50),-26.67*Escalation!$B$94,Actuals!CT50)</f>
        <v>-30.0347517217709</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-30.6354467562063</v>
      </c>
      <c r="CX232" s="21" t="n">
        <f aca="false">IF(ISBLANK(Actuals!CY50),-26.67*Escalation!$B$99,Actuals!CY50)</f>
        <v>-30.6354467562063</v>
      </c>
      <c r="CY232" s="21" t="n">
        <f aca="false">IF(ISBLANK(Actuals!CZ50),-26.67*Escalation!$B$100,Actuals!CZ50)</f>
        <v>-30.6354467562063</v>
      </c>
      <c r="CZ232" s="21" t="n">
        <f aca="false">IF(ISBLANK(Actuals!DA50),-26.67*Escalation!$B$101,Actuals!DA50)</f>
        <v>-30.6354467562063</v>
      </c>
      <c r="DA232" s="21" t="n">
        <f aca="false">IF(ISBLANK(Actuals!DB50),-26.67*Escalation!$B$102,Actuals!DB50)</f>
        <v>-30.6354467562063</v>
      </c>
      <c r="DB232" s="21" t="n">
        <f aca="false">IF(ISBLANK(Actuals!DC50),-26.67*Escalation!$B$103,Actuals!DC50)</f>
        <v>-30.6354467562063</v>
      </c>
      <c r="DC232" s="21" t="n">
        <f aca="false">IF(ISBLANK(Actuals!DD50),-26.67*Escalation!$B$104,Actuals!DD50)</f>
        <v>-30.6354467562063</v>
      </c>
      <c r="DD232" s="21" t="n">
        <f aca="false">IF(ISBLANK(Actuals!DE50),-26.67*Escalation!$B$105,Actuals!DE50)</f>
        <v>-30.6354467562063</v>
      </c>
      <c r="DE232" s="21" t="n">
        <f aca="false">IF(ISBLANK(Actuals!DF50),-26.67*Escalation!$B$106,Actuals!DF50)</f>
        <v>-30.6354467562063</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v>
      </c>
      <c r="R233" s="21" t="n">
        <f aca="false">IF(ISBLANK(Actuals!S51),-21*Escalation!$B$15,Actuals!S51)</f>
        <v>-21</v>
      </c>
      <c r="S233" s="21" t="n">
        <f aca="false">IF(ISBLANK(Actuals!T51),-21*Escalation!$B$16,Actuals!T51)</f>
        <v>-21</v>
      </c>
      <c r="T233" s="21" t="n">
        <f aca="false">IF(ISBLANK(Actuals!U51),-21*Escalation!$B$17,Actuals!U51)</f>
        <v>-21</v>
      </c>
      <c r="U233" s="21" t="n">
        <f aca="false">IF(ISBLANK(Actuals!V51),-21*Escalation!$B$18,Actuals!V51)</f>
        <v>-21</v>
      </c>
      <c r="V233" s="21" t="n">
        <f aca="false">IF(ISBLANK(Actuals!W51),-21*Escalation!$B$19,Actuals!W51)</f>
        <v>-21</v>
      </c>
      <c r="W233" s="21" t="n">
        <f aca="false">IF(ISBLANK(Actuals!X51),-21*Escalation!$B$20,Actuals!X51)</f>
        <v>-21</v>
      </c>
      <c r="X233" s="21" t="n">
        <f aca="false">IF(ISBLANK(Actuals!Y51),-21*Escalation!$B$21,Actuals!Y51)</f>
        <v>-21</v>
      </c>
      <c r="Y233" s="21" t="n">
        <f aca="false">IF(ISBLANK(Actuals!Z51),-21*Escalation!$B$22,Actuals!Z51)</f>
        <v>-21</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-21.42</v>
      </c>
      <c r="AD233" s="21" t="n">
        <f aca="false">IF(ISBLANK(Actuals!AE51),-21*Escalation!$B$27,Actuals!AE51)</f>
        <v>-21.42</v>
      </c>
      <c r="AE233" s="21" t="n">
        <f aca="false">IF(ISBLANK(Actuals!AF51),-21*Escalation!$B$28,Actuals!AF51)</f>
        <v>-21.42</v>
      </c>
      <c r="AF233" s="21" t="n">
        <f aca="false">IF(ISBLANK(Actuals!AG51),-21*Escalation!$B$29,Actuals!AG51)</f>
        <v>-21.42</v>
      </c>
      <c r="AG233" s="21" t="n">
        <f aca="false">IF(ISBLANK(Actuals!AH51),-21*Escalation!$B$30,Actuals!AH51)</f>
        <v>-21.42</v>
      </c>
      <c r="AH233" s="21" t="n">
        <f aca="false">IF(ISBLANK(Actuals!AI51),-21*Escalation!$B$31,Actuals!AI51)</f>
        <v>-21.42</v>
      </c>
      <c r="AI233" s="21" t="n">
        <f aca="false">IF(ISBLANK(Actuals!AJ51),-21*Escalation!$B$32,Actuals!AJ51)</f>
        <v>-21.42</v>
      </c>
      <c r="AJ233" s="21" t="n">
        <f aca="false">IF(ISBLANK(Actuals!AK51),-21*Escalation!$B$33,Actuals!AK51)</f>
        <v>-21.42</v>
      </c>
      <c r="AK233" s="21" t="n">
        <f aca="false">IF(ISBLANK(Actuals!AL51),-21*Escalation!$B$34,Actuals!AL51)</f>
        <v>-21.42</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-21.8484</v>
      </c>
      <c r="AP233" s="21" t="n">
        <f aca="false">IF(ISBLANK(Actuals!AQ51),-21*Escalation!$B$39,Actuals!AQ51)</f>
        <v>-21.8484</v>
      </c>
      <c r="AQ233" s="21" t="n">
        <f aca="false">IF(ISBLANK(Actuals!AR51),-21*Escalation!$B$40,Actuals!AR51)</f>
        <v>-21.8484</v>
      </c>
      <c r="AR233" s="21" t="n">
        <f aca="false">IF(ISBLANK(Actuals!AS51),-21*Escalation!$B$41,Actuals!AS51)</f>
        <v>-21.8484</v>
      </c>
      <c r="AS233" s="21" t="n">
        <f aca="false">IF(ISBLANK(Actuals!AT51),-21*Escalation!$B$42,Actuals!AT51)</f>
        <v>-21.8484</v>
      </c>
      <c r="AT233" s="21" t="n">
        <f aca="false">IF(ISBLANK(Actuals!AU51),-21*Escalation!$B$43,Actuals!AU51)</f>
        <v>-21.8484</v>
      </c>
      <c r="AU233" s="21" t="n">
        <f aca="false">IF(ISBLANK(Actuals!AV51),-21*Escalation!$B$44,Actuals!AV51)</f>
        <v>-21.8484</v>
      </c>
      <c r="AV233" s="21" t="n">
        <f aca="false">IF(ISBLANK(Actuals!AW51),-21*Escalation!$B$45,Actuals!AW51)</f>
        <v>-21.8484</v>
      </c>
      <c r="AW233" s="21" t="n">
        <f aca="false">IF(ISBLANK(Actuals!AX51),-21*Escalation!$B$46,Actuals!AX51)</f>
        <v>-21.8484</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-22.285368</v>
      </c>
      <c r="BB233" s="21" t="n">
        <f aca="false">IF(ISBLANK(Actuals!BC51),-21*Escalation!$B$51,Actuals!BC51)</f>
        <v>-22.285368</v>
      </c>
      <c r="BC233" s="21" t="n">
        <f aca="false">IF(ISBLANK(Actuals!BD51),-21*Escalation!$B$52,Actuals!BD51)</f>
        <v>-22.285368</v>
      </c>
      <c r="BD233" s="21" t="n">
        <f aca="false">IF(ISBLANK(Actuals!BE51),-21*Escalation!$B$53,Actuals!BE51)</f>
        <v>-22.285368</v>
      </c>
      <c r="BE233" s="21" t="n">
        <f aca="false">IF(ISBLANK(Actuals!BF51),-21*Escalation!$B$54,Actuals!BF51)</f>
        <v>-22.285368</v>
      </c>
      <c r="BF233" s="21" t="n">
        <f aca="false">IF(ISBLANK(Actuals!BG51),-21*Escalation!$B$55,Actuals!BG51)</f>
        <v>-22.285368</v>
      </c>
      <c r="BG233" s="21" t="n">
        <f aca="false">IF(ISBLANK(Actuals!BH51),-21*Escalation!$B$56,Actuals!BH51)</f>
        <v>-22.285368</v>
      </c>
      <c r="BH233" s="21" t="n">
        <f aca="false">IF(ISBLANK(Actuals!BI51),-21*Escalation!$B$57,Actuals!BI51)</f>
        <v>-22.285368</v>
      </c>
      <c r="BI233" s="21" t="n">
        <f aca="false">IF(ISBLANK(Actuals!BJ51),-21*Escalation!$B$58,Actuals!BJ51)</f>
        <v>-22.285368</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-22.73107536</v>
      </c>
      <c r="BN233" s="21" t="n">
        <f aca="false">IF(ISBLANK(Actuals!BO51),-21*Escalation!$B$63,Actuals!BO51)</f>
        <v>-22.73107536</v>
      </c>
      <c r="BO233" s="21" t="n">
        <f aca="false">IF(ISBLANK(Actuals!BP51),-21*Escalation!$B$64,Actuals!BP51)</f>
        <v>-22.73107536</v>
      </c>
      <c r="BP233" s="21" t="n">
        <f aca="false">IF(ISBLANK(Actuals!BQ51),-21*Escalation!$B$65,Actuals!BQ51)</f>
        <v>-22.73107536</v>
      </c>
      <c r="BQ233" s="21" t="n">
        <f aca="false">IF(ISBLANK(Actuals!BR51),-21*Escalation!$B$66,Actuals!BR51)</f>
        <v>-22.73107536</v>
      </c>
      <c r="BR233" s="21" t="n">
        <f aca="false">IF(ISBLANK(Actuals!BS51),-21*Escalation!$B$67,Actuals!BS51)</f>
        <v>-22.73107536</v>
      </c>
      <c r="BS233" s="21" t="n">
        <f aca="false">IF(ISBLANK(Actuals!BT51),-21*Escalation!$B$68,Actuals!BT51)</f>
        <v>-22.73107536</v>
      </c>
      <c r="BT233" s="21" t="n">
        <f aca="false">IF(ISBLANK(Actuals!BU51),-21*Escalation!$B$69,Actuals!BU51)</f>
        <v>-22.73107536</v>
      </c>
      <c r="BU233" s="21" t="n">
        <f aca="false">IF(ISBLANK(Actuals!BV51),-21*Escalation!$B$70,Actuals!BV51)</f>
        <v>-22.73107536</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-23.1856968672</v>
      </c>
      <c r="BZ233" s="21" t="n">
        <f aca="false">IF(ISBLANK(Actuals!CA51),-21*Escalation!$B$75,Actuals!CA51)</f>
        <v>-23.1856968672</v>
      </c>
      <c r="CA233" s="21" t="n">
        <f aca="false">IF(ISBLANK(Actuals!CB51),-21*Escalation!$B$76,Actuals!CB51)</f>
        <v>-23.1856968672</v>
      </c>
      <c r="CB233" s="21" t="n">
        <f aca="false">IF(ISBLANK(Actuals!CC51),-21*Escalation!$B$77,Actuals!CC51)</f>
        <v>-23.1856968672</v>
      </c>
      <c r="CC233" s="21" t="n">
        <f aca="false">IF(ISBLANK(Actuals!CD51),-21*Escalation!$B$78,Actuals!CD51)</f>
        <v>-23.1856968672</v>
      </c>
      <c r="CD233" s="21" t="n">
        <f aca="false">IF(ISBLANK(Actuals!CE51),-21*Escalation!$B$79,Actuals!CE51)</f>
        <v>-23.1856968672</v>
      </c>
      <c r="CE233" s="21" t="n">
        <f aca="false">IF(ISBLANK(Actuals!CF51),-21*Escalation!$B$80,Actuals!CF51)</f>
        <v>-23.1856968672</v>
      </c>
      <c r="CF233" s="21" t="n">
        <f aca="false">IF(ISBLANK(Actuals!CG51),-21*Escalation!$B$81,Actuals!CG51)</f>
        <v>-23.1856968672</v>
      </c>
      <c r="CG233" s="21" t="n">
        <f aca="false">IF(ISBLANK(Actuals!CH51),-21*Escalation!$B$82,Actuals!CH51)</f>
        <v>-23.1856968672</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-23.649410804544</v>
      </c>
      <c r="CL233" s="21" t="n">
        <f aca="false">IF(ISBLANK(Actuals!CM51),-21*Escalation!$B$87,Actuals!CM51)</f>
        <v>-23.649410804544</v>
      </c>
      <c r="CM233" s="21" t="n">
        <f aca="false">IF(ISBLANK(Actuals!CN51),-21*Escalation!$B$88,Actuals!CN51)</f>
        <v>-23.649410804544</v>
      </c>
      <c r="CN233" s="21" t="n">
        <f aca="false">IF(ISBLANK(Actuals!CO51),-21*Escalation!$B$89,Actuals!CO51)</f>
        <v>-23.649410804544</v>
      </c>
      <c r="CO233" s="21" t="n">
        <f aca="false">IF(ISBLANK(Actuals!CP51),-21*Escalation!$B$90,Actuals!CP51)</f>
        <v>-23.649410804544</v>
      </c>
      <c r="CP233" s="21" t="n">
        <f aca="false">IF(ISBLANK(Actuals!CQ51),-21*Escalation!$B$91,Actuals!CQ51)</f>
        <v>-23.649410804544</v>
      </c>
      <c r="CQ233" s="21" t="n">
        <f aca="false">IF(ISBLANK(Actuals!CR51),-21*Escalation!$B$92,Actuals!CR51)</f>
        <v>-23.649410804544</v>
      </c>
      <c r="CR233" s="21" t="n">
        <f aca="false">IF(ISBLANK(Actuals!CS51),-21*Escalation!$B$93,Actuals!CS51)</f>
        <v>-23.649410804544</v>
      </c>
      <c r="CS233" s="21" t="n">
        <f aca="false">IF(ISBLANK(Actuals!CT51),-21*Escalation!$B$94,Actuals!CT51)</f>
        <v>-23.649410804544</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-24.1223990206349</v>
      </c>
      <c r="CX233" s="21" t="n">
        <f aca="false">IF(ISBLANK(Actuals!CY51),-21*Escalation!$B$99,Actuals!CY51)</f>
        <v>-24.1223990206349</v>
      </c>
      <c r="CY233" s="21" t="n">
        <f aca="false">IF(ISBLANK(Actuals!CZ51),-21*Escalation!$B$100,Actuals!CZ51)</f>
        <v>-24.1223990206349</v>
      </c>
      <c r="CZ233" s="21" t="n">
        <f aca="false">IF(ISBLANK(Actuals!DA51),-21*Escalation!$B$101,Actuals!DA51)</f>
        <v>-24.1223990206349</v>
      </c>
      <c r="DA233" s="21" t="n">
        <f aca="false">IF(ISBLANK(Actuals!DB51),-21*Escalation!$B$102,Actuals!DB51)</f>
        <v>-24.1223990206349</v>
      </c>
      <c r="DB233" s="21" t="n">
        <f aca="false">IF(ISBLANK(Actuals!DC51),-21*Escalation!$B$103,Actuals!DC51)</f>
        <v>-24.1223990206349</v>
      </c>
      <c r="DC233" s="21" t="n">
        <f aca="false">IF(ISBLANK(Actuals!DD51),-21*Escalation!$B$104,Actuals!DD51)</f>
        <v>-24.1223990206349</v>
      </c>
      <c r="DD233" s="21" t="n">
        <f aca="false">IF(ISBLANK(Actuals!DE51),-21*Escalation!$B$105,Actuals!DE51)</f>
        <v>-24.1223990206349</v>
      </c>
      <c r="DE233" s="21" t="n">
        <f aca="false">IF(ISBLANK(Actuals!DF51),-21*Escalation!$B$106,Actuals!DF51)</f>
        <v>-24.1223990206349</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-1250</v>
      </c>
      <c r="R235" s="21" t="n">
        <f aca="false">IF(ISBLANK(Actuals!S53),-1250*Escalation!$B$15,Actuals!S53)</f>
        <v>-1250</v>
      </c>
      <c r="S235" s="21" t="n">
        <f aca="false">IF(ISBLANK(Actuals!T53),-1250*Escalation!$B$16,Actuals!T53)</f>
        <v>-1250</v>
      </c>
      <c r="T235" s="21" t="n">
        <f aca="false">IF(ISBLANK(Actuals!U53),-1250*Escalation!$B$17,Actuals!U53)</f>
        <v>-1250</v>
      </c>
      <c r="U235" s="21" t="n">
        <f aca="false">IF(ISBLANK(Actuals!V53),-1250*Escalation!$B$18,Actuals!V53)</f>
        <v>-1250</v>
      </c>
      <c r="V235" s="21" t="n">
        <f aca="false">IF(ISBLANK(Actuals!W53),-1250*Escalation!$B$19,Actuals!W53)</f>
        <v>-1250</v>
      </c>
      <c r="W235" s="21" t="n">
        <f aca="false">IF(ISBLANK(Actuals!X53),-1250*Escalation!$B$20,Actuals!X53)</f>
        <v>-1250</v>
      </c>
      <c r="X235" s="21" t="n">
        <f aca="false">IF(ISBLANK(Actuals!Y53),-1250*Escalation!$B$21,Actuals!Y53)</f>
        <v>-1250</v>
      </c>
      <c r="Y235" s="21" t="n">
        <f aca="false">IF(ISBLANK(Actuals!Z53),-1250*Escalation!$B$22,Actuals!Z53)</f>
        <v>-1250</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-1275</v>
      </c>
      <c r="AD235" s="21" t="n">
        <f aca="false">IF(ISBLANK(Actuals!AE53),-1250*Escalation!$B$27,Actuals!AE53)</f>
        <v>-1275</v>
      </c>
      <c r="AE235" s="21" t="n">
        <f aca="false">IF(ISBLANK(Actuals!AF53),-1250*Escalation!$B$28,Actuals!AF53)</f>
        <v>-1275</v>
      </c>
      <c r="AF235" s="21" t="n">
        <f aca="false">IF(ISBLANK(Actuals!AG53),-1250*Escalation!$B$29,Actuals!AG53)</f>
        <v>-1275</v>
      </c>
      <c r="AG235" s="21" t="n">
        <f aca="false">IF(ISBLANK(Actuals!AH53),-1250*Escalation!$B$30,Actuals!AH53)</f>
        <v>-1275</v>
      </c>
      <c r="AH235" s="21" t="n">
        <f aca="false">IF(ISBLANK(Actuals!AI53),-1250*Escalation!$B$31,Actuals!AI53)</f>
        <v>-1275</v>
      </c>
      <c r="AI235" s="21" t="n">
        <f aca="false">IF(ISBLANK(Actuals!AJ53),-1250*Escalation!$B$32,Actuals!AJ53)</f>
        <v>-1275</v>
      </c>
      <c r="AJ235" s="21" t="n">
        <f aca="false">IF(ISBLANK(Actuals!AK53),-1250*Escalation!$B$33,Actuals!AK53)</f>
        <v>-1275</v>
      </c>
      <c r="AK235" s="21" t="n">
        <f aca="false">IF(ISBLANK(Actuals!AL53),-1250*Escalation!$B$34,Actuals!AL53)</f>
        <v>-1275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-1300.5</v>
      </c>
      <c r="AP235" s="21" t="n">
        <f aca="false">IF(ISBLANK(Actuals!AQ53),-1250*Escalation!$B$39,Actuals!AQ53)</f>
        <v>-1300.5</v>
      </c>
      <c r="AQ235" s="21" t="n">
        <f aca="false">IF(ISBLANK(Actuals!AR53),-1250*Escalation!$B$40,Actuals!AR53)</f>
        <v>-1300.5</v>
      </c>
      <c r="AR235" s="21" t="n">
        <f aca="false">IF(ISBLANK(Actuals!AS53),-1250*Escalation!$B$41,Actuals!AS53)</f>
        <v>-1300.5</v>
      </c>
      <c r="AS235" s="21" t="n">
        <f aca="false">IF(ISBLANK(Actuals!AT53),-1250*Escalation!$B$42,Actuals!AT53)</f>
        <v>-1300.5</v>
      </c>
      <c r="AT235" s="21" t="n">
        <f aca="false">IF(ISBLANK(Actuals!AU53),-1250*Escalation!$B$43,Actuals!AU53)</f>
        <v>-1300.5</v>
      </c>
      <c r="AU235" s="21" t="n">
        <f aca="false">IF(ISBLANK(Actuals!AV53),-1250*Escalation!$B$44,Actuals!AV53)</f>
        <v>-1300.5</v>
      </c>
      <c r="AV235" s="21" t="n">
        <f aca="false">IF(ISBLANK(Actuals!AW53),-1250*Escalation!$B$45,Actuals!AW53)</f>
        <v>-1300.5</v>
      </c>
      <c r="AW235" s="21" t="n">
        <f aca="false">IF(ISBLANK(Actuals!AX53),-1250*Escalation!$B$46,Actuals!AX53)</f>
        <v>-1300.5</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-1326.51</v>
      </c>
      <c r="BB235" s="21" t="n">
        <f aca="false">IF(ISBLANK(Actuals!BC53),-1250*Escalation!$B$51,Actuals!BC53)</f>
        <v>-1326.51</v>
      </c>
      <c r="BC235" s="21" t="n">
        <f aca="false">IF(ISBLANK(Actuals!BD53),-1250*Escalation!$B$52,Actuals!BD53)</f>
        <v>-1326.51</v>
      </c>
      <c r="BD235" s="21" t="n">
        <f aca="false">IF(ISBLANK(Actuals!BE53),-1250*Escalation!$B$53,Actuals!BE53)</f>
        <v>-1326.51</v>
      </c>
      <c r="BE235" s="21" t="n">
        <f aca="false">IF(ISBLANK(Actuals!BF53),-1250*Escalation!$B$54,Actuals!BF53)</f>
        <v>-1326.51</v>
      </c>
      <c r="BF235" s="21" t="n">
        <f aca="false">IF(ISBLANK(Actuals!BG53),-1250*Escalation!$B$55,Actuals!BG53)</f>
        <v>-1326.51</v>
      </c>
      <c r="BG235" s="21" t="n">
        <f aca="false">IF(ISBLANK(Actuals!BH53),-1250*Escalation!$B$56,Actuals!BH53)</f>
        <v>-1326.51</v>
      </c>
      <c r="BH235" s="21" t="n">
        <f aca="false">IF(ISBLANK(Actuals!BI53),-1250*Escalation!$B$57,Actuals!BI53)</f>
        <v>-1326.51</v>
      </c>
      <c r="BI235" s="21" t="n">
        <f aca="false">IF(ISBLANK(Actuals!BJ53),-1250*Escalation!$B$58,Actuals!BJ53)</f>
        <v>-1326.51</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-1353.0402</v>
      </c>
      <c r="BN235" s="21" t="n">
        <f aca="false">IF(ISBLANK(Actuals!BO53),-1250*Escalation!$B$63,Actuals!BO53)</f>
        <v>-1353.0402</v>
      </c>
      <c r="BO235" s="21" t="n">
        <f aca="false">IF(ISBLANK(Actuals!BP53),-1250*Escalation!$B$64,Actuals!BP53)</f>
        <v>-1353.0402</v>
      </c>
      <c r="BP235" s="21" t="n">
        <f aca="false">IF(ISBLANK(Actuals!BQ53),-1250*Escalation!$B$65,Actuals!BQ53)</f>
        <v>-1353.0402</v>
      </c>
      <c r="BQ235" s="21" t="n">
        <f aca="false">IF(ISBLANK(Actuals!BR53),-1250*Escalation!$B$66,Actuals!BR53)</f>
        <v>-1353.0402</v>
      </c>
      <c r="BR235" s="21" t="n">
        <f aca="false">IF(ISBLANK(Actuals!BS53),-1250*Escalation!$B$67,Actuals!BS53)</f>
        <v>-1353.0402</v>
      </c>
      <c r="BS235" s="21" t="n">
        <f aca="false">IF(ISBLANK(Actuals!BT53),-1250*Escalation!$B$68,Actuals!BT53)</f>
        <v>-1353.0402</v>
      </c>
      <c r="BT235" s="21" t="n">
        <f aca="false">IF(ISBLANK(Actuals!BU53),-1250*Escalation!$B$69,Actuals!BU53)</f>
        <v>-1353.0402</v>
      </c>
      <c r="BU235" s="21" t="n">
        <f aca="false">IF(ISBLANK(Actuals!BV53),-1250*Escalation!$B$70,Actuals!BV53)</f>
        <v>-1353.0402</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-1380.101004</v>
      </c>
      <c r="BZ235" s="21" t="n">
        <f aca="false">IF(ISBLANK(Actuals!CA53),-1250*Escalation!$B$75,Actuals!CA53)</f>
        <v>-1380.101004</v>
      </c>
      <c r="CA235" s="21" t="n">
        <f aca="false">IF(ISBLANK(Actuals!CB53),-1250*Escalation!$B$76,Actuals!CB53)</f>
        <v>-1380.101004</v>
      </c>
      <c r="CB235" s="21" t="n">
        <f aca="false">IF(ISBLANK(Actuals!CC53),-1250*Escalation!$B$77,Actuals!CC53)</f>
        <v>-1380.101004</v>
      </c>
      <c r="CC235" s="21" t="n">
        <f aca="false">IF(ISBLANK(Actuals!CD53),-1250*Escalation!$B$78,Actuals!CD53)</f>
        <v>-1380.101004</v>
      </c>
      <c r="CD235" s="21" t="n">
        <f aca="false">IF(ISBLANK(Actuals!CE53),-1250*Escalation!$B$79,Actuals!CE53)</f>
        <v>-1380.101004</v>
      </c>
      <c r="CE235" s="21" t="n">
        <f aca="false">IF(ISBLANK(Actuals!CF53),-1250*Escalation!$B$80,Actuals!CF53)</f>
        <v>-1380.101004</v>
      </c>
      <c r="CF235" s="21" t="n">
        <f aca="false">IF(ISBLANK(Actuals!CG53),-1250*Escalation!$B$81,Actuals!CG53)</f>
        <v>-1380.101004</v>
      </c>
      <c r="CG235" s="21" t="n">
        <f aca="false">IF(ISBLANK(Actuals!CH53),-1250*Escalation!$B$82,Actuals!CH53)</f>
        <v>-1380.101004</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-1407.70302408</v>
      </c>
      <c r="CL235" s="21" t="n">
        <f aca="false">IF(ISBLANK(Actuals!CM53),-1250*Escalation!$B$87,Actuals!CM53)</f>
        <v>-1407.70302408</v>
      </c>
      <c r="CM235" s="21" t="n">
        <f aca="false">IF(ISBLANK(Actuals!CN53),-1250*Escalation!$B$88,Actuals!CN53)</f>
        <v>-1407.70302408</v>
      </c>
      <c r="CN235" s="21" t="n">
        <f aca="false">IF(ISBLANK(Actuals!CO53),-1250*Escalation!$B$89,Actuals!CO53)</f>
        <v>-1407.70302408</v>
      </c>
      <c r="CO235" s="21" t="n">
        <f aca="false">IF(ISBLANK(Actuals!CP53),-1250*Escalation!$B$90,Actuals!CP53)</f>
        <v>-1407.70302408</v>
      </c>
      <c r="CP235" s="21" t="n">
        <f aca="false">IF(ISBLANK(Actuals!CQ53),-1250*Escalation!$B$91,Actuals!CQ53)</f>
        <v>-1407.70302408</v>
      </c>
      <c r="CQ235" s="21" t="n">
        <f aca="false">IF(ISBLANK(Actuals!CR53),-1250*Escalation!$B$92,Actuals!CR53)</f>
        <v>-1407.70302408</v>
      </c>
      <c r="CR235" s="21" t="n">
        <f aca="false">IF(ISBLANK(Actuals!CS53),-1250*Escalation!$B$93,Actuals!CS53)</f>
        <v>-1407.70302408</v>
      </c>
      <c r="CS235" s="21" t="n">
        <f aca="false">IF(ISBLANK(Actuals!CT53),-1250*Escalation!$B$94,Actuals!CT53)</f>
        <v>-1407.70302408</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-1435.8570845616</v>
      </c>
      <c r="CX235" s="21" t="n">
        <f aca="false">IF(ISBLANK(Actuals!CY53),-1250*Escalation!$B$99,Actuals!CY53)</f>
        <v>-1435.8570845616</v>
      </c>
      <c r="CY235" s="21" t="n">
        <f aca="false">IF(ISBLANK(Actuals!CZ53),-1250*Escalation!$B$100,Actuals!CZ53)</f>
        <v>-1435.8570845616</v>
      </c>
      <c r="CZ235" s="21" t="n">
        <f aca="false">IF(ISBLANK(Actuals!DA53),-1250*Escalation!$B$101,Actuals!DA53)</f>
        <v>-1435.8570845616</v>
      </c>
      <c r="DA235" s="21" t="n">
        <f aca="false">IF(ISBLANK(Actuals!DB53),-1250*Escalation!$B$102,Actuals!DB53)</f>
        <v>-1435.8570845616</v>
      </c>
      <c r="DB235" s="21" t="n">
        <f aca="false">IF(ISBLANK(Actuals!DC53),-1250*Escalation!$B$103,Actuals!DC53)</f>
        <v>-1435.8570845616</v>
      </c>
      <c r="DC235" s="21" t="n">
        <f aca="false">IF(ISBLANK(Actuals!DD53),-1250*Escalation!$B$104,Actuals!DD53)</f>
        <v>-1435.8570845616</v>
      </c>
      <c r="DD235" s="21" t="n">
        <f aca="false">IF(ISBLANK(Actuals!DE53),-1250*Escalation!$B$105,Actuals!DE53)</f>
        <v>-1435.8570845616</v>
      </c>
      <c r="DE235" s="21" t="n">
        <f aca="false">IF(ISBLANK(Actuals!DF53),-1250*Escalation!$B$106,Actuals!DF53)</f>
        <v>-1435.8570845616</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-403247.629666667</v>
      </c>
      <c r="L236" s="30" t="n">
        <f aca="false">SUM(L202:L235)+Actuals!M54</f>
        <v>-395747.629666667</v>
      </c>
      <c r="M236" s="30" t="n">
        <f aca="false">SUM(M202:M235)+Actuals!N54</f>
        <v>-497587.629666667</v>
      </c>
      <c r="N236" s="30" t="n">
        <f aca="false">SUM(N202:N235)+Actuals!O54</f>
        <v>-416147.838</v>
      </c>
      <c r="O236" s="30" t="n">
        <f aca="false">SUM(O202:O235)+Actuals!P54</f>
        <v>-437116.588</v>
      </c>
      <c r="P236" s="30" t="n">
        <f aca="false">SUM(P202:P235)+Actuals!Q54</f>
        <v>-404241.588</v>
      </c>
      <c r="Q236" s="30" t="n">
        <f aca="false">SUM(Q202:Q235)+Actuals!R54</f>
        <v>-404241.588</v>
      </c>
      <c r="R236" s="30" t="n">
        <f aca="false">SUM(R202:R235)+Actuals!S54</f>
        <v>-404241.588</v>
      </c>
      <c r="S236" s="30" t="n">
        <f aca="false">SUM(S202:S235)+Actuals!T54</f>
        <v>-500697.838</v>
      </c>
      <c r="T236" s="30" t="n">
        <f aca="false">SUM(T202:T235)+Actuals!U54</f>
        <v>-457572.838</v>
      </c>
      <c r="U236" s="30" t="n">
        <f aca="false">SUM(U202:U235)+Actuals!V54</f>
        <v>-457572.838</v>
      </c>
      <c r="V236" s="30" t="n">
        <f aca="false">SUM(V202:V235)+Actuals!W54</f>
        <v>-457572.838</v>
      </c>
      <c r="W236" s="30" t="n">
        <f aca="false">SUM(W202:W235)+Actuals!X54</f>
        <v>-457572.838</v>
      </c>
      <c r="X236" s="30" t="n">
        <f aca="false">SUM(X202:X235)+Actuals!Y54</f>
        <v>-457572.838</v>
      </c>
      <c r="Y236" s="30" t="n">
        <f aca="false">SUM(Y202:Y235)+Actuals!Z54</f>
        <v>-657572.838</v>
      </c>
      <c r="Z236" s="30" t="n">
        <f aca="false">SUM(Z202:Z235)+Actuals!AA54</f>
        <v>-462766.537067692</v>
      </c>
      <c r="AA236" s="30" t="n">
        <f aca="false">SUM(AA202:AA235)+Actuals!AB54</f>
        <v>-440458.84476</v>
      </c>
      <c r="AB236" s="30" t="n">
        <f aca="false">SUM(AB202:AB235)+Actuals!AC54</f>
        <v>-435419.496683077</v>
      </c>
      <c r="AC236" s="30" t="n">
        <f aca="false">SUM(AC202:AC235)+Actuals!AD54</f>
        <v>-413496.41976</v>
      </c>
      <c r="AD236" s="30" t="n">
        <f aca="false">SUM(AD202:AD235)+Actuals!AE54</f>
        <v>-408457.071683077</v>
      </c>
      <c r="AE236" s="30" t="n">
        <f aca="false">SUM(AE202:AE235)+Actuals!AF54</f>
        <v>-386533.99476</v>
      </c>
      <c r="AF236" s="30" t="n">
        <f aca="false">SUM(AF202:AF235)+Actuals!AG54</f>
        <v>-386533.99476</v>
      </c>
      <c r="AG236" s="30" t="n">
        <f aca="false">SUM(AG202:AG235)+Actuals!AH54</f>
        <v>-386533.99476</v>
      </c>
      <c r="AH236" s="30" t="n">
        <f aca="false">SUM(AH202:AH235)+Actuals!AI54</f>
        <v>-386533.99476</v>
      </c>
      <c r="AI236" s="30" t="n">
        <f aca="false">SUM(AI202:AI235)+Actuals!AJ54</f>
        <v>-386533.99476</v>
      </c>
      <c r="AJ236" s="30" t="n">
        <f aca="false">SUM(AJ202:AJ235)+Actuals!AK54</f>
        <v>-386533.99476</v>
      </c>
      <c r="AK236" s="30" t="n">
        <f aca="false">SUM(AK202:AK235)+Actuals!AL54</f>
        <v>-586533.99476</v>
      </c>
      <c r="AL236" s="30" t="n">
        <f aca="false">SUM(AL202:AL235)+Actuals!AM54</f>
        <v>-393853.6746552</v>
      </c>
      <c r="AM236" s="30" t="n">
        <f aca="false">SUM(AM202:AM235)+Actuals!AN54</f>
        <v>-393853.6746552</v>
      </c>
      <c r="AN236" s="30" t="n">
        <f aca="false">SUM(AN202:AN235)+Actuals!AO54</f>
        <v>-393853.6746552</v>
      </c>
      <c r="AO236" s="30" t="n">
        <f aca="false">SUM(AO202:AO235)+Actuals!AP54</f>
        <v>-393853.6746552</v>
      </c>
      <c r="AP236" s="30" t="n">
        <f aca="false">SUM(AP202:AP235)+Actuals!AQ54</f>
        <v>-393853.6746552</v>
      </c>
      <c r="AQ236" s="30" t="n">
        <f aca="false">SUM(AQ202:AQ235)+Actuals!AR54</f>
        <v>-393853.6746552</v>
      </c>
      <c r="AR236" s="30" t="n">
        <f aca="false">SUM(AR202:AR235)+Actuals!AS54</f>
        <v>-393853.6746552</v>
      </c>
      <c r="AS236" s="30" t="n">
        <f aca="false">SUM(AS202:AS235)+Actuals!AT54</f>
        <v>-393853.6746552</v>
      </c>
      <c r="AT236" s="30" t="n">
        <f aca="false">SUM(AT202:AT235)+Actuals!AU54</f>
        <v>-393853.6746552</v>
      </c>
      <c r="AU236" s="30" t="n">
        <f aca="false">SUM(AU202:AU235)+Actuals!AV54</f>
        <v>-393853.6746552</v>
      </c>
      <c r="AV236" s="30" t="n">
        <f aca="false">SUM(AV202:AV235)+Actuals!AW54</f>
        <v>-393853.6746552</v>
      </c>
      <c r="AW236" s="30" t="n">
        <f aca="false">SUM(AW202:AW235)+Actuals!AX54</f>
        <v>-593853.6746552</v>
      </c>
      <c r="AX236" s="30" t="n">
        <f aca="false">SUM(AX202:AX235)+Actuals!AY54</f>
        <v>-401319.748148304</v>
      </c>
      <c r="AY236" s="30" t="n">
        <f aca="false">SUM(AY202:AY235)+Actuals!AZ54</f>
        <v>-401319.748148304</v>
      </c>
      <c r="AZ236" s="30" t="n">
        <f aca="false">SUM(AZ202:AZ235)+Actuals!BA54</f>
        <v>-401319.748148304</v>
      </c>
      <c r="BA236" s="30" t="n">
        <f aca="false">SUM(BA202:BA235)+Actuals!BB54</f>
        <v>-401319.748148304</v>
      </c>
      <c r="BB236" s="30" t="n">
        <f aca="false">SUM(BB202:BB235)+Actuals!BC54</f>
        <v>-401319.748148304</v>
      </c>
      <c r="BC236" s="30" t="n">
        <f aca="false">SUM(BC202:BC235)+Actuals!BD54</f>
        <v>-401319.748148304</v>
      </c>
      <c r="BD236" s="30" t="n">
        <f aca="false">SUM(BD202:BD235)+Actuals!BE54</f>
        <v>-401319.748148304</v>
      </c>
      <c r="BE236" s="30" t="n">
        <f aca="false">SUM(BE202:BE235)+Actuals!BF54</f>
        <v>-401319.748148304</v>
      </c>
      <c r="BF236" s="30" t="n">
        <f aca="false">SUM(BF202:BF235)+Actuals!BG54</f>
        <v>-401319.748148304</v>
      </c>
      <c r="BG236" s="30" t="n">
        <f aca="false">SUM(BG202:BG235)+Actuals!BH54</f>
        <v>-401319.748148304</v>
      </c>
      <c r="BH236" s="30" t="n">
        <f aca="false">SUM(BH202:BH235)+Actuals!BI54</f>
        <v>-401319.748148304</v>
      </c>
      <c r="BI236" s="30" t="n">
        <f aca="false">SUM(BI202:BI235)+Actuals!BJ54</f>
        <v>-601319.748148304</v>
      </c>
      <c r="BJ236" s="30" t="n">
        <f aca="false">SUM(BJ202:BJ235)+Actuals!BK54</f>
        <v>-408935.14311127</v>
      </c>
      <c r="BK236" s="30" t="n">
        <f aca="false">SUM(BK202:BK235)+Actuals!BL54</f>
        <v>-408935.14311127</v>
      </c>
      <c r="BL236" s="30" t="n">
        <f aca="false">SUM(BL202:BL235)+Actuals!BM54</f>
        <v>-408935.14311127</v>
      </c>
      <c r="BM236" s="30" t="n">
        <f aca="false">SUM(BM202:BM235)+Actuals!BN54</f>
        <v>-408935.14311127</v>
      </c>
      <c r="BN236" s="30" t="n">
        <f aca="false">SUM(BN202:BN235)+Actuals!BO54</f>
        <v>-408935.14311127</v>
      </c>
      <c r="BO236" s="30" t="n">
        <f aca="false">SUM(BO202:BO235)+Actuals!BP54</f>
        <v>-408935.14311127</v>
      </c>
      <c r="BP236" s="30" t="n">
        <f aca="false">SUM(BP202:BP235)+Actuals!BQ54</f>
        <v>-408935.14311127</v>
      </c>
      <c r="BQ236" s="30" t="n">
        <f aca="false">SUM(BQ202:BQ235)+Actuals!BR54</f>
        <v>-408935.14311127</v>
      </c>
      <c r="BR236" s="30" t="n">
        <f aca="false">SUM(BR202:BR235)+Actuals!BS54</f>
        <v>-408935.14311127</v>
      </c>
      <c r="BS236" s="30" t="n">
        <f aca="false">SUM(BS202:BS235)+Actuals!BT54</f>
        <v>-408935.14311127</v>
      </c>
      <c r="BT236" s="30" t="n">
        <f aca="false">SUM(BT202:BT235)+Actuals!BU54</f>
        <v>-408935.14311127</v>
      </c>
      <c r="BU236" s="30" t="n">
        <f aca="false">SUM(BU202:BU235)+Actuals!BV54</f>
        <v>-608935.14311127</v>
      </c>
      <c r="BV236" s="30" t="n">
        <f aca="false">SUM(BV202:BV235)+Actuals!BW54</f>
        <v>-416702.845973495</v>
      </c>
      <c r="BW236" s="30" t="n">
        <f aca="false">SUM(BW202:BW235)+Actuals!BX54</f>
        <v>-416702.845973495</v>
      </c>
      <c r="BX236" s="30" t="n">
        <f aca="false">SUM(BX202:BX235)+Actuals!BY54</f>
        <v>-416702.845973495</v>
      </c>
      <c r="BY236" s="30" t="n">
        <f aca="false">SUM(BY202:BY235)+Actuals!BZ54</f>
        <v>-416702.845973495</v>
      </c>
      <c r="BZ236" s="30" t="n">
        <f aca="false">SUM(BZ202:BZ235)+Actuals!CA54</f>
        <v>-416702.845973495</v>
      </c>
      <c r="CA236" s="30" t="n">
        <f aca="false">SUM(CA202:CA235)+Actuals!CB54</f>
        <v>-416702.845973495</v>
      </c>
      <c r="CB236" s="30" t="n">
        <f aca="false">SUM(CB202:CB235)+Actuals!CC54</f>
        <v>-416702.845973495</v>
      </c>
      <c r="CC236" s="30" t="n">
        <f aca="false">SUM(CC202:CC235)+Actuals!CD54</f>
        <v>-416702.845973495</v>
      </c>
      <c r="CD236" s="30" t="n">
        <f aca="false">SUM(CD202:CD235)+Actuals!CE54</f>
        <v>-416702.845973495</v>
      </c>
      <c r="CE236" s="30" t="n">
        <f aca="false">SUM(CE202:CE235)+Actuals!CF54</f>
        <v>-416702.845973495</v>
      </c>
      <c r="CF236" s="30" t="n">
        <f aca="false">SUM(CF202:CF235)+Actuals!CG54</f>
        <v>-416702.845973495</v>
      </c>
      <c r="CG236" s="30" t="n">
        <f aca="false">SUM(CG202:CG235)+Actuals!CH54</f>
        <v>-616702.845973496</v>
      </c>
      <c r="CH236" s="30" t="n">
        <f aca="false">SUM(CH202:CH235)+Actuals!CI54</f>
        <v>-424625.902892965</v>
      </c>
      <c r="CI236" s="30" t="n">
        <f aca="false">SUM(CI202:CI235)+Actuals!CJ54</f>
        <v>-424625.902892965</v>
      </c>
      <c r="CJ236" s="30" t="n">
        <f aca="false">SUM(CJ202:CJ235)+Actuals!CK54</f>
        <v>-424625.902892965</v>
      </c>
      <c r="CK236" s="30" t="n">
        <f aca="false">SUM(CK202:CK235)+Actuals!CL54</f>
        <v>-424625.902892965</v>
      </c>
      <c r="CL236" s="30" t="n">
        <f aca="false">SUM(CL202:CL235)+Actuals!CM54</f>
        <v>-424625.902892965</v>
      </c>
      <c r="CM236" s="30" t="n">
        <f aca="false">SUM(CM202:CM235)+Actuals!CN54</f>
        <v>-424625.902892965</v>
      </c>
      <c r="CN236" s="30" t="n">
        <f aca="false">SUM(CN202:CN235)+Actuals!CO54</f>
        <v>-424625.902892965</v>
      </c>
      <c r="CO236" s="30" t="n">
        <f aca="false">SUM(CO202:CO235)+Actuals!CP54</f>
        <v>-424625.902892965</v>
      </c>
      <c r="CP236" s="30" t="n">
        <f aca="false">SUM(CP202:CP235)+Actuals!CQ54</f>
        <v>-424625.902892965</v>
      </c>
      <c r="CQ236" s="30" t="n">
        <f aca="false">SUM(CQ202:CQ235)+Actuals!CR54</f>
        <v>-424625.902892965</v>
      </c>
      <c r="CR236" s="30" t="n">
        <f aca="false">SUM(CR202:CR235)+Actuals!CS54</f>
        <v>-424625.902892965</v>
      </c>
      <c r="CS236" s="30" t="n">
        <f aca="false">SUM(CS202:CS235)+Actuals!CT54</f>
        <v>-624625.902892966</v>
      </c>
      <c r="CT236" s="30" t="n">
        <f aca="false">SUM(CT202:CT235)+Actuals!CU54</f>
        <v>-392165.313083151</v>
      </c>
      <c r="CU236" s="30" t="n">
        <f aca="false">SUM(CU202:CU235)+Actuals!CV54</f>
        <v>-392165.313083151</v>
      </c>
      <c r="CV236" s="30" t="n">
        <f aca="false">SUM(CV202:CV235)+Actuals!CW54</f>
        <v>-392165.313083151</v>
      </c>
      <c r="CW236" s="30" t="n">
        <f aca="false">SUM(CW202:CW235)+Actuals!CX54</f>
        <v>-392165.313083151</v>
      </c>
      <c r="CX236" s="30" t="n">
        <f aca="false">SUM(CX202:CX235)+Actuals!CY54</f>
        <v>-392165.313083151</v>
      </c>
      <c r="CY236" s="30" t="n">
        <f aca="false">SUM(CY202:CY235)+Actuals!CZ54</f>
        <v>-392165.313083151</v>
      </c>
      <c r="CZ236" s="30" t="n">
        <f aca="false">SUM(CZ202:CZ235)+Actuals!DA54</f>
        <v>-392165.313083151</v>
      </c>
      <c r="DA236" s="30" t="n">
        <f aca="false">SUM(DA202:DA235)+Actuals!DB54</f>
        <v>-392165.313083151</v>
      </c>
      <c r="DB236" s="30" t="n">
        <f aca="false">SUM(DB202:DB235)+Actuals!DC54</f>
        <v>-392165.313083151</v>
      </c>
      <c r="DC236" s="30" t="n">
        <f aca="false">SUM(DC202:DC235)+Actuals!DD54</f>
        <v>-392165.313083151</v>
      </c>
      <c r="DD236" s="30" t="n">
        <f aca="false">SUM(DD202:DD235)+Actuals!DE54</f>
        <v>-392165.313083151</v>
      </c>
      <c r="DE236" s="30" t="n">
        <f aca="false">SUM(DE202:DE235)+Actuals!DF54</f>
        <v>-592165.313083151</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-287788.996791666</v>
      </c>
      <c r="L237" s="37" t="n">
        <f aca="false">L199+L236</f>
        <v>52159.3503333338</v>
      </c>
      <c r="M237" s="37" t="n">
        <f aca="false">M199+M236</f>
        <v>35166.2903333338</v>
      </c>
      <c r="N237" s="37" t="n">
        <f aca="false">N199+N236</f>
        <v>240471.06871865</v>
      </c>
      <c r="O237" s="37" t="n">
        <f aca="false">O199+O236</f>
        <v>248763.335199601</v>
      </c>
      <c r="P237" s="37" t="n">
        <f aca="false">P199+P236</f>
        <v>300112.9551996</v>
      </c>
      <c r="Q237" s="37" t="n">
        <f aca="false">Q199+Q236</f>
        <v>274669.6551996</v>
      </c>
      <c r="R237" s="37" t="n">
        <f aca="false">R199+R236</f>
        <v>261274.945199597</v>
      </c>
      <c r="S237" s="37" t="n">
        <f aca="false">S199+S236</f>
        <v>-132971.361097051</v>
      </c>
      <c r="T237" s="37" t="n">
        <f aca="false">T199+T236</f>
        <v>576952.61841275</v>
      </c>
      <c r="U237" s="37" t="n">
        <f aca="false">U199+U236</f>
        <v>473250.558412751</v>
      </c>
      <c r="V237" s="37" t="n">
        <f aca="false">V199+V236</f>
        <v>559121.828412749</v>
      </c>
      <c r="W237" s="37" t="n">
        <f aca="false">W199+W236</f>
        <v>379966.998412748</v>
      </c>
      <c r="X237" s="37" t="n">
        <f aca="false">X199+X236</f>
        <v>530630.958412751</v>
      </c>
      <c r="Y237" s="37" t="n">
        <f aca="false">Y199+Y236</f>
        <v>147104.03841275</v>
      </c>
      <c r="Z237" s="37" t="n">
        <f aca="false">Z199+Z236</f>
        <v>441837.339345058</v>
      </c>
      <c r="AA237" s="37" t="n">
        <f aca="false">AA199+AA236</f>
        <v>373978.091652748</v>
      </c>
      <c r="AB237" s="37" t="n">
        <f aca="false">AB199+AB236</f>
        <v>240883.169729673</v>
      </c>
      <c r="AC237" s="37" t="n">
        <f aca="false">AC199+AC236</f>
        <v>166569.406652753</v>
      </c>
      <c r="AD237" s="37" t="n">
        <f aca="false">AD199+AD236</f>
        <v>194174.794729674</v>
      </c>
      <c r="AE237" s="37" t="n">
        <f aca="false">AE199+AE236</f>
        <v>207181.551652747</v>
      </c>
      <c r="AF237" s="37" t="n">
        <f aca="false">AF199+AF236</f>
        <v>365565.678371402</v>
      </c>
      <c r="AG237" s="37" t="n">
        <f aca="false">AG199+AG236</f>
        <v>298965.18141505</v>
      </c>
      <c r="AH237" s="37" t="n">
        <f aca="false">AH199+AH236</f>
        <v>162629.698453149</v>
      </c>
      <c r="AI237" s="37" t="n">
        <f aca="false">AI199+AI236</f>
        <v>156565.988453155</v>
      </c>
      <c r="AJ237" s="37" t="n">
        <f aca="false">AJ199+AJ236</f>
        <v>35992.0584531465</v>
      </c>
      <c r="AK237" s="37" t="n">
        <f aca="false">AK199+AK236</f>
        <v>-188597.65154685</v>
      </c>
      <c r="AL237" s="37" t="n">
        <f aca="false">AL199+AL236</f>
        <v>18153.3785579512</v>
      </c>
      <c r="AM237" s="37" t="n">
        <f aca="false">AM199+AM236</f>
        <v>29836.4185579489</v>
      </c>
      <c r="AN237" s="37" t="n">
        <f aca="false">AN199+AN236</f>
        <v>-76831.0914420523</v>
      </c>
      <c r="AO237" s="37" t="n">
        <f aca="false">AO199+AO236</f>
        <v>-116091.83144205</v>
      </c>
      <c r="AP237" s="37" t="n">
        <f aca="false">AP199+AP236</f>
        <v>16776.7653864976</v>
      </c>
      <c r="AQ237" s="37" t="n">
        <f aca="false">AQ199+AQ236</f>
        <v>-221279.470597983</v>
      </c>
      <c r="AR237" s="37" t="n">
        <f aca="false">AR199+AR236</f>
        <v>-221279.470597983</v>
      </c>
      <c r="AS237" s="37" t="n">
        <f aca="false">AS199+AS236</f>
        <v>-221279.470597983</v>
      </c>
      <c r="AT237" s="37" t="n">
        <f aca="false">AT199+AT236</f>
        <v>-221279.470597983</v>
      </c>
      <c r="AU237" s="37" t="n">
        <f aca="false">AU199+AU236</f>
        <v>-221279.470597983</v>
      </c>
      <c r="AV237" s="37" t="n">
        <f aca="false">AV199+AV236</f>
        <v>51206.1147555166</v>
      </c>
      <c r="AW237" s="37" t="n">
        <f aca="false">AW199+AW236</f>
        <v>-593853.6746552</v>
      </c>
      <c r="AX237" s="37" t="n">
        <f aca="false">AX199+AX236</f>
        <v>-401319.748148304</v>
      </c>
      <c r="AY237" s="37" t="n">
        <f aca="false">AY199+AY236</f>
        <v>-401319.748148304</v>
      </c>
      <c r="AZ237" s="37" t="n">
        <f aca="false">AZ199+AZ236</f>
        <v>-401319.748148304</v>
      </c>
      <c r="BA237" s="37" t="n">
        <f aca="false">BA199+BA236</f>
        <v>-401319.748148304</v>
      </c>
      <c r="BB237" s="37" t="n">
        <f aca="false">BB199+BB236</f>
        <v>-401319.748148304</v>
      </c>
      <c r="BC237" s="37" t="n">
        <f aca="false">BC199+BC236</f>
        <v>-401319.748148304</v>
      </c>
      <c r="BD237" s="37" t="n">
        <f aca="false">BD199+BD236</f>
        <v>-401319.748148304</v>
      </c>
      <c r="BE237" s="37" t="n">
        <f aca="false">BE199+BE236</f>
        <v>-401319.748148304</v>
      </c>
      <c r="BF237" s="37" t="n">
        <f aca="false">BF199+BF236</f>
        <v>-401319.748148304</v>
      </c>
      <c r="BG237" s="37" t="n">
        <f aca="false">BG199+BG236</f>
        <v>-401319.748148304</v>
      </c>
      <c r="BH237" s="37" t="n">
        <f aca="false">BH199+BH236</f>
        <v>-401319.748148304</v>
      </c>
      <c r="BI237" s="37" t="n">
        <f aca="false">BI199+BI236</f>
        <v>-601319.748148304</v>
      </c>
      <c r="BJ237" s="37" t="n">
        <f aca="false">BJ199+BJ236</f>
        <v>-408935.14311127</v>
      </c>
      <c r="BK237" s="37" t="n">
        <f aca="false">BK199+BK236</f>
        <v>-408935.14311127</v>
      </c>
      <c r="BL237" s="37" t="n">
        <f aca="false">BL199+BL236</f>
        <v>-408935.14311127</v>
      </c>
      <c r="BM237" s="37" t="n">
        <f aca="false">BM199+BM236</f>
        <v>-408935.14311127</v>
      </c>
      <c r="BN237" s="37" t="n">
        <f aca="false">BN199+BN236</f>
        <v>-408935.14311127</v>
      </c>
      <c r="BO237" s="37" t="n">
        <f aca="false">BO199+BO236</f>
        <v>-408935.14311127</v>
      </c>
      <c r="BP237" s="37" t="n">
        <f aca="false">BP199+BP236</f>
        <v>-408935.14311127</v>
      </c>
      <c r="BQ237" s="37" t="n">
        <f aca="false">BQ199+BQ236</f>
        <v>-408935.14311127</v>
      </c>
      <c r="BR237" s="37" t="n">
        <f aca="false">BR199+BR236</f>
        <v>-408935.14311127</v>
      </c>
      <c r="BS237" s="37" t="n">
        <f aca="false">BS199+BS236</f>
        <v>-408935.14311127</v>
      </c>
      <c r="BT237" s="37" t="n">
        <f aca="false">BT199+BT236</f>
        <v>-408935.14311127</v>
      </c>
      <c r="BU237" s="37" t="n">
        <f aca="false">BU199+BU236</f>
        <v>-608935.14311127</v>
      </c>
      <c r="BV237" s="37" t="n">
        <f aca="false">BV199+BV236</f>
        <v>-416702.845973495</v>
      </c>
      <c r="BW237" s="37" t="n">
        <f aca="false">BW199+BW236</f>
        <v>-416702.845973495</v>
      </c>
      <c r="BX237" s="37" t="n">
        <f aca="false">BX199+BX236</f>
        <v>-416702.845973495</v>
      </c>
      <c r="BY237" s="37" t="n">
        <f aca="false">BY199+BY236</f>
        <v>-416702.845973495</v>
      </c>
      <c r="BZ237" s="37" t="n">
        <f aca="false">BZ199+BZ236</f>
        <v>-416702.845973495</v>
      </c>
      <c r="CA237" s="37" t="n">
        <f aca="false">CA199+CA236</f>
        <v>-416702.845973495</v>
      </c>
      <c r="CB237" s="37" t="n">
        <f aca="false">CB199+CB236</f>
        <v>-416702.845973495</v>
      </c>
      <c r="CC237" s="37" t="n">
        <f aca="false">CC199+CC236</f>
        <v>-416702.845973495</v>
      </c>
      <c r="CD237" s="37" t="n">
        <f aca="false">CD199+CD236</f>
        <v>-416702.845973495</v>
      </c>
      <c r="CE237" s="37" t="n">
        <f aca="false">CE199+CE236</f>
        <v>-416702.845973495</v>
      </c>
      <c r="CF237" s="37" t="n">
        <f aca="false">CF199+CF236</f>
        <v>-416702.845973495</v>
      </c>
      <c r="CG237" s="37" t="n">
        <f aca="false">CG199+CG236</f>
        <v>-616702.845973496</v>
      </c>
      <c r="CH237" s="37" t="n">
        <f aca="false">CH199+CH236</f>
        <v>-424625.902892965</v>
      </c>
      <c r="CI237" s="37" t="n">
        <f aca="false">CI199+CI236</f>
        <v>-424625.902892965</v>
      </c>
      <c r="CJ237" s="37" t="n">
        <f aca="false">CJ199+CJ236</f>
        <v>-424625.902892965</v>
      </c>
      <c r="CK237" s="37" t="n">
        <f aca="false">CK199+CK236</f>
        <v>-424625.902892965</v>
      </c>
      <c r="CL237" s="37" t="n">
        <f aca="false">CL199+CL236</f>
        <v>-424625.902892965</v>
      </c>
      <c r="CM237" s="37" t="n">
        <f aca="false">CM199+CM236</f>
        <v>-424625.902892965</v>
      </c>
      <c r="CN237" s="37" t="n">
        <f aca="false">CN199+CN236</f>
        <v>-424625.902892965</v>
      </c>
      <c r="CO237" s="37" t="n">
        <f aca="false">CO199+CO236</f>
        <v>-424625.902892965</v>
      </c>
      <c r="CP237" s="37" t="n">
        <f aca="false">CP199+CP236</f>
        <v>-424625.902892965</v>
      </c>
      <c r="CQ237" s="37" t="n">
        <f aca="false">CQ199+CQ236</f>
        <v>-424625.902892965</v>
      </c>
      <c r="CR237" s="37" t="n">
        <f aca="false">CR199+CR236</f>
        <v>-424625.902892965</v>
      </c>
      <c r="CS237" s="37" t="n">
        <f aca="false">CS199+CS236</f>
        <v>-624625.902892966</v>
      </c>
      <c r="CT237" s="37" t="n">
        <f aca="false">CT199+CT236</f>
        <v>-392165.313083151</v>
      </c>
      <c r="CU237" s="37" t="n">
        <f aca="false">CU199+CU236</f>
        <v>-392165.313083151</v>
      </c>
      <c r="CV237" s="37" t="n">
        <f aca="false">CV199+CV236</f>
        <v>-392165.313083151</v>
      </c>
      <c r="CW237" s="37" t="n">
        <f aca="false">CW199+CW236</f>
        <v>-392165.313083151</v>
      </c>
      <c r="CX237" s="37" t="n">
        <f aca="false">CX199+CX236</f>
        <v>-392165.313083151</v>
      </c>
      <c r="CY237" s="37" t="n">
        <f aca="false">CY199+CY236</f>
        <v>-392165.313083151</v>
      </c>
      <c r="CZ237" s="37" t="n">
        <f aca="false">CZ199+CZ236</f>
        <v>-392165.313083151</v>
      </c>
      <c r="DA237" s="37" t="n">
        <f aca="false">DA199+DA236</f>
        <v>-392165.313083151</v>
      </c>
      <c r="DB237" s="37" t="n">
        <f aca="false">DB199+DB236</f>
        <v>-392165.313083151</v>
      </c>
      <c r="DC237" s="37" t="n">
        <f aca="false">DC199+DC236</f>
        <v>-392165.313083151</v>
      </c>
      <c r="DD237" s="37" t="n">
        <f aca="false">DD199+DD236</f>
        <v>-392165.313083151</v>
      </c>
      <c r="DE237" s="37" t="n">
        <f aca="false">DE199+DE236</f>
        <v>-592165.313083151</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-0.0490776139550545</v>
      </c>
      <c r="L238" s="33" t="n">
        <f aca="false">IFERROR(L237/L58,0)</f>
        <v>0.0110278344895882</v>
      </c>
      <c r="M238" s="33" t="n">
        <f aca="false">IFERROR(M237/M58,0)</f>
        <v>0.00748748681202083</v>
      </c>
      <c r="N238" s="33" t="n">
        <f aca="false">IFERROR(N237/N58,0)</f>
        <v>0.0425355466833239</v>
      </c>
      <c r="O238" s="33" t="n">
        <f aca="false">IFERROR(O237/O58,0)</f>
        <v>0.0433610030195023</v>
      </c>
      <c r="P238" s="33" t="n">
        <f aca="false">IFERROR(P237/P58,0)</f>
        <v>0.0480247020190894</v>
      </c>
      <c r="Q238" s="33" t="n">
        <f aca="false">IFERROR(Q237/Q58,0)</f>
        <v>0.0445825404896797</v>
      </c>
      <c r="R238" s="33" t="n">
        <f aca="false">IFERROR(R237/R58,0)</f>
        <v>0.0423697249962077</v>
      </c>
      <c r="S238" s="33" t="n">
        <f aca="false">IFERROR(S237/S58,0)</f>
        <v>-0.0174862588355573</v>
      </c>
      <c r="T238" s="33" t="n">
        <f aca="false">IFERROR(T237/T58,0)</f>
        <v>0.0658503555447243</v>
      </c>
      <c r="U238" s="33" t="n">
        <f aca="false">IFERROR(U237/U58,0)</f>
        <v>0.0577363545817679</v>
      </c>
      <c r="V238" s="33" t="n">
        <f aca="false">IFERROR(V237/V58,0)</f>
        <v>0.0626449073845229</v>
      </c>
      <c r="W238" s="33" t="n">
        <f aca="false">IFERROR(W237/W58,0)</f>
        <v>0.0505052562282755</v>
      </c>
      <c r="X238" s="33" t="n">
        <f aca="false">IFERROR(X237/X58,0)</f>
        <v>0.0592017265331054</v>
      </c>
      <c r="Y238" s="33" t="n">
        <f aca="false">IFERROR(Y237/Y58,0)</f>
        <v>0.0194505313348826</v>
      </c>
      <c r="Z238" s="33" t="n">
        <f aca="false">IFERROR(Z237/Z58,0)</f>
        <v>0.0521327335910429</v>
      </c>
      <c r="AA238" s="33" t="n">
        <f aca="false">IFERROR(AA237/AA58,0)</f>
        <v>0.0483494716704216</v>
      </c>
      <c r="AB238" s="33" t="n">
        <f aca="false">IFERROR(AB237/AB58,0)</f>
        <v>0.0368457058625275</v>
      </c>
      <c r="AC238" s="33" t="n">
        <f aca="false">IFERROR(AC237/AC58,0)</f>
        <v>0.0294423788415272</v>
      </c>
      <c r="AD238" s="33" t="n">
        <f aca="false">IFERROR(AD237/AD58,0)</f>
        <v>0.0338755998946523</v>
      </c>
      <c r="AE238" s="33" t="n">
        <f aca="false">IFERROR(AE237/AE58,0)</f>
        <v>0.0376023944170892</v>
      </c>
      <c r="AF238" s="33" t="n">
        <f aca="false">IFERROR(AF237/AF58,0)</f>
        <v>0.0651994660522291</v>
      </c>
      <c r="AG238" s="33" t="n">
        <f aca="false">IFERROR(AG237/AG58,0)</f>
        <v>0.0499089759572131</v>
      </c>
      <c r="AH238" s="33" t="n">
        <f aca="false">IFERROR(AH237/AH58,0)</f>
        <v>0.0295421538968595</v>
      </c>
      <c r="AI238" s="33" t="n">
        <f aca="false">IFERROR(AI237/AI58,0)</f>
        <v>0.0291896024772648</v>
      </c>
      <c r="AJ238" s="33" t="n">
        <f aca="false">IFERROR(AJ237/AJ58,0)</f>
        <v>0.00850251779825098</v>
      </c>
      <c r="AK238" s="33" t="n">
        <f aca="false">IFERROR(AK237/AK58,0)</f>
        <v>-0.0486308853615501</v>
      </c>
      <c r="AL238" s="33" t="n">
        <f aca="false">IFERROR(AL237/AL58,0)</f>
        <v>0.00474650863223076</v>
      </c>
      <c r="AM238" s="33" t="n">
        <f aca="false">IFERROR(AM237/AM58,0)</f>
        <v>0.00798943918173598</v>
      </c>
      <c r="AN238" s="33" t="n">
        <f aca="false">IFERROR(AN237/AN58,0)</f>
        <v>-0.0290662479776642</v>
      </c>
      <c r="AO238" s="33" t="n">
        <f aca="false">IFERROR(AO237/AO58,0)</f>
        <v>-0.0550126408879799</v>
      </c>
      <c r="AP238" s="33" t="n">
        <f aca="false">IFERROR(AP237/AP58,0)</f>
        <v>0.008808200796489</v>
      </c>
      <c r="AQ238" s="33" t="n">
        <f aca="false">IFERROR(AQ237/AQ58,0)</f>
        <v>-0.166706762229805</v>
      </c>
      <c r="AR238" s="33" t="n">
        <f aca="false">IFERROR(AR237/AR58,0)</f>
        <v>-0.184222437869402</v>
      </c>
      <c r="AS238" s="33" t="n">
        <f aca="false">IFERROR(AS237/AS58,0)</f>
        <v>-0.205625810325351</v>
      </c>
      <c r="AT238" s="33" t="n">
        <f aca="false">IFERROR(AT237/AT58,0)</f>
        <v>-0.231817820878483</v>
      </c>
      <c r="AU238" s="33" t="n">
        <f aca="false">IFERROR(AU237/AU58,0)</f>
        <v>-0.263977880379338</v>
      </c>
      <c r="AV238" s="33" t="n">
        <f aca="false">IFERROR(AV237/AV58,0)</f>
        <v>0.0702569785190624</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IF(ISBLANK(Actuals!I70),8800,Actuals!I70)</f>
        <v>44000</v>
      </c>
      <c r="I247" s="13" t="n">
        <f aca="false">IF(ISBLANK(Actuals!J70),8800,Actuals!J70)</f>
        <v>19000</v>
      </c>
      <c r="J247" s="13" t="n">
        <f aca="false">IF(ISBLANK(Actuals!K70),8800,Actuals!K70)</f>
        <v>8800</v>
      </c>
      <c r="K247" s="13" t="n">
        <f aca="false">IF(ISBLANK(Actuals!L70),8800,Actuals!L70)</f>
        <v>8800</v>
      </c>
      <c r="L247" s="13" t="n">
        <f aca="false">IF(ISBLANK(Actuals!M70),8800,Actuals!M70)</f>
        <v>8800</v>
      </c>
      <c r="M247" s="13" t="n">
        <f aca="false">IF(ISBLANK(Actuals!N70),8800,Actuals!N70)</f>
        <v>8800</v>
      </c>
      <c r="N247" s="13" t="n">
        <f aca="false">IF(ISBLANK(Actuals!O70),8800,Actuals!O70)</f>
        <v>8800</v>
      </c>
      <c r="O247" s="13" t="n">
        <f aca="false">IF(ISBLANK(Actuals!P70),8800,Actuals!P70)</f>
        <v>8800</v>
      </c>
      <c r="P247" s="13" t="n">
        <f aca="false">IF(ISBLANK(Actuals!Q70),8800,Actuals!Q70)</f>
        <v>8800</v>
      </c>
      <c r="Q247" s="13" t="n">
        <f aca="false">IF(ISBLANK(Actuals!R70),8800,Actuals!R70)</f>
        <v>8800</v>
      </c>
      <c r="R247" s="13" t="n">
        <f aca="false">IF(ISBLANK(Actuals!S70),8800,Actuals!S70)</f>
        <v>8800</v>
      </c>
      <c r="S247" s="13" t="n">
        <f aca="false">IF(ISBLANK(Actuals!T70),8800,Actuals!T70)</f>
        <v>8800</v>
      </c>
      <c r="T247" s="13" t="n">
        <f aca="false">IF(ISBLANK(Actuals!U70),8800,Actuals!U70)</f>
        <v>8800</v>
      </c>
      <c r="U247" s="13" t="n">
        <f aca="false">IF(ISBLANK(Actuals!V70),8800,Actuals!V70)</f>
        <v>8800</v>
      </c>
      <c r="V247" s="13" t="n">
        <f aca="false">IF(ISBLANK(Actuals!W70),8800,Actuals!W70)</f>
        <v>8800</v>
      </c>
      <c r="W247" s="13" t="n">
        <f aca="false">IF(ISBLANK(Actuals!X70),8800,Actuals!X70)</f>
        <v>8800</v>
      </c>
      <c r="X247" s="13" t="n">
        <f aca="false">IF(ISBLANK(Actuals!Y70),8800,Actuals!Y70)</f>
        <v>8800</v>
      </c>
      <c r="Y247" s="13" t="n">
        <f aca="false">IF(ISBLANK(Actuals!Z70),8800,Actuals!Z70)</f>
        <v>8800</v>
      </c>
      <c r="Z247" s="13" t="n">
        <f aca="false">IF(ISBLANK(Actuals!AA70),8800,Actuals!AA70)</f>
        <v>8800</v>
      </c>
      <c r="AA247" s="13" t="n">
        <f aca="false">IF(ISBLANK(Actuals!AB70),8800,Actuals!AB70)</f>
        <v>8800</v>
      </c>
      <c r="AB247" s="13" t="n">
        <f aca="false">IF(ISBLANK(Actuals!AC70),8800,Actuals!AC70)</f>
        <v>8800</v>
      </c>
      <c r="AC247" s="13" t="n">
        <f aca="false">IF(ISBLANK(Actuals!AD70),8800,Actuals!AD70)</f>
        <v>8800</v>
      </c>
      <c r="AD247" s="13" t="n">
        <f aca="false">IF(ISBLANK(Actuals!AE70),8800,Actuals!AE70)</f>
        <v>8800</v>
      </c>
      <c r="AE247" s="13" t="n">
        <f aca="false">IF(ISBLANK(Actuals!AF70),8800,Actuals!AF70)</f>
        <v>8800</v>
      </c>
      <c r="AF247" s="13" t="n">
        <f aca="false">IF(ISBLANK(Actuals!AG70),8800,Actuals!AG70)</f>
        <v>8800</v>
      </c>
      <c r="AG247" s="13" t="n">
        <f aca="false">IF(ISBLANK(Actuals!AH70),8800,Actuals!AH70)</f>
        <v>8800</v>
      </c>
      <c r="AH247" s="13" t="n">
        <f aca="false">IF(ISBLANK(Actuals!AI70),8800,Actuals!AI70)</f>
        <v>8800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42081.25</v>
      </c>
      <c r="L261" s="30" t="n">
        <f aca="false">SUM(L240:L260)</f>
        <v>32706.25</v>
      </c>
      <c r="M261" s="30" t="n">
        <f aca="false">SUM(M240:M260)</f>
        <v>32706.25</v>
      </c>
      <c r="N261" s="30" t="n">
        <f aca="false">SUM(N240:N260)</f>
        <v>35864.1447368421</v>
      </c>
      <c r="O261" s="30" t="n">
        <f aca="false">SUM(O240:O260)</f>
        <v>39022.0394736842</v>
      </c>
      <c r="P261" s="30" t="n">
        <f aca="false">SUM(P240:P260)</f>
        <v>39022.0394736842</v>
      </c>
      <c r="Q261" s="30" t="n">
        <f aca="false">SUM(Q240:Q260)</f>
        <v>39022.0394736842</v>
      </c>
      <c r="R261" s="30" t="n">
        <f aca="false">SUM(R240:R260)</f>
        <v>39022.0394736842</v>
      </c>
      <c r="S261" s="30" t="n">
        <f aca="false">SUM(S240:S260)</f>
        <v>39022.0394736842</v>
      </c>
      <c r="T261" s="30" t="n">
        <f aca="false">SUM(T240:T260)</f>
        <v>15115.7894736842</v>
      </c>
      <c r="U261" s="30" t="n">
        <f aca="false">SUM(U240:U260)</f>
        <v>15115.7894736842</v>
      </c>
      <c r="V261" s="30" t="n">
        <f aca="false">SUM(V240:V260)</f>
        <v>15115.7894736842</v>
      </c>
      <c r="W261" s="30" t="n">
        <f aca="false">SUM(W240:W260)</f>
        <v>15115.7894736842</v>
      </c>
      <c r="X261" s="30" t="n">
        <f aca="false">SUM(X240:X260)</f>
        <v>15115.7894736842</v>
      </c>
      <c r="Y261" s="30" t="n">
        <f aca="false">SUM(Y240:Y260)</f>
        <v>72490.7894736842</v>
      </c>
      <c r="Z261" s="30" t="n">
        <f aca="false">SUM(Z240:Z260)</f>
        <v>15115.7894736842</v>
      </c>
      <c r="AA261" s="30" t="n">
        <f aca="false">SUM(AA240:AA260)</f>
        <v>15115.7894736842</v>
      </c>
      <c r="AB261" s="30" t="n">
        <f aca="false">SUM(AB240:AB260)</f>
        <v>72490.7894736842</v>
      </c>
      <c r="AC261" s="30" t="n">
        <f aca="false">SUM(AC240:AC260)</f>
        <v>15115.7894736842</v>
      </c>
      <c r="AD261" s="30" t="n">
        <f aca="false">SUM(AD240:AD260)</f>
        <v>15115.7894736842</v>
      </c>
      <c r="AE261" s="30" t="n">
        <f aca="false">SUM(AE240:AE260)</f>
        <v>72490.7894736842</v>
      </c>
      <c r="AF261" s="30" t="n">
        <f aca="false">SUM(AF240:AF260)</f>
        <v>15115.7894736842</v>
      </c>
      <c r="AG261" s="30" t="n">
        <f aca="false">SUM(AG240:AG260)</f>
        <v>11957.8947368421</v>
      </c>
      <c r="AH261" s="30" t="n">
        <f aca="false">SUM(AH240:AH260)</f>
        <v>8800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142402</v>
      </c>
      <c r="CB261" s="30" t="n">
        <f aca="false">SUM(CB240:CB260)</f>
        <v>0</v>
      </c>
      <c r="CC261" s="30" t="n">
        <f aca="false">SUM(CC240:CC260)</f>
        <v>0</v>
      </c>
      <c r="CD261" s="30" t="n">
        <f aca="false">SUM(CD240:CD260)</f>
        <v>157862</v>
      </c>
      <c r="CE261" s="30" t="n">
        <f aca="false">SUM(CE240:CE260)</f>
        <v>0</v>
      </c>
      <c r="CF261" s="30" t="n">
        <f aca="false">SUM(CF240:CF260)</f>
        <v>0</v>
      </c>
      <c r="CG261" s="30" t="n">
        <f aca="false">SUM(CG240:CG260)</f>
        <v>157861</v>
      </c>
      <c r="CH261" s="30" t="n">
        <f aca="false">SUM(CH240:CH260)</f>
        <v>0</v>
      </c>
      <c r="CI261" s="30" t="n">
        <f aca="false">SUM(CI240:CI260)</f>
        <v>0</v>
      </c>
      <c r="CJ261" s="30" t="n">
        <f aca="false">SUM(CJ240:CJ260)</f>
        <v>157861</v>
      </c>
      <c r="CK261" s="30" t="n">
        <f aca="false">SUM(CK240:CK260)</f>
        <v>157861</v>
      </c>
      <c r="CL261" s="30" t="n">
        <f aca="false">SUM(CL240:CL260)</f>
        <v>157861</v>
      </c>
      <c r="CM261" s="30" t="n">
        <f aca="false">SUM(CM240:CM260)</f>
        <v>157861</v>
      </c>
      <c r="CN261" s="30" t="n">
        <f aca="false">SUM(CN240:CN260)</f>
        <v>157861</v>
      </c>
      <c r="CO261" s="30" t="n">
        <f aca="false">SUM(CO240:CO260)</f>
        <v>157861</v>
      </c>
      <c r="CP261" s="30" t="n">
        <f aca="false">SUM(CP240:CP260)</f>
        <v>157861</v>
      </c>
      <c r="CQ261" s="30" t="n">
        <f aca="false">SUM(CQ240:CQ260)</f>
        <v>157861</v>
      </c>
      <c r="CR261" s="30" t="n">
        <f aca="false">SUM(CR240:CR260)</f>
        <v>157861</v>
      </c>
      <c r="CS261" s="30" t="n">
        <f aca="false">SUM(CS240:CS260)</f>
        <v>157861</v>
      </c>
      <c r="CT261" s="30" t="n">
        <f aca="false">SUM(CT240:CT260)</f>
        <v>157861</v>
      </c>
      <c r="CU261" s="30" t="n">
        <f aca="false">SUM(CU240:CU260)</f>
        <v>157861</v>
      </c>
      <c r="CV261" s="30" t="n">
        <f aca="false">SUM(CV240:CV260)</f>
        <v>157861</v>
      </c>
      <c r="CW261" s="30" t="n">
        <f aca="false">SUM(CW240:CW260)</f>
        <v>157861</v>
      </c>
      <c r="CX261" s="30" t="n">
        <f aca="false">SUM(CX240:CX260)</f>
        <v>157861</v>
      </c>
      <c r="CY261" s="30" t="n">
        <f aca="false">SUM(CY240:CY260)</f>
        <v>157861</v>
      </c>
      <c r="CZ261" s="30" t="n">
        <f aca="false">SUM(CZ240:CZ260)</f>
        <v>157861</v>
      </c>
      <c r="DA261" s="30" t="n">
        <f aca="false">SUM(DA240:DA260)</f>
        <v>157861</v>
      </c>
      <c r="DB261" s="30" t="n">
        <f aca="false">SUM(DB240:DB260)</f>
        <v>157861</v>
      </c>
      <c r="DC261" s="30" t="n">
        <f aca="false">SUM(DC240:DC260)</f>
        <v>157861</v>
      </c>
      <c r="DD261" s="30" t="n">
        <f aca="false">SUM(DD240:DD260)</f>
        <v>157861</v>
      </c>
      <c r="DE261" s="30" t="n">
        <f aca="false">SUM(DE240:DE260)</f>
        <v>157861</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123</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-54791.6666666667</v>
      </c>
      <c r="O263" s="21" t="n">
        <f aca="false">IF(ISBLANK(Actuals!P83),(-(SUMPRODUCT((Personnel!$O$9:$O$100="SP-Payroll")*(Personnel!$G$9:$G$100="Yes")*(11&gt;=Personnel!$E$9:$E$100)*((Personnel!$K$9:$K$100="")+(11&lt;=Personnel!$K$9:$K$100)&gt;0)*Personnel!$D$9:$D$100*(1-Personnel!$I$9:$I$100))))*Escalation!$B$12,Actuals!P83)</f>
        <v>-54791.6666666667</v>
      </c>
      <c r="P263" s="21" t="n">
        <f aca="false">IF(ISBLANK(Actuals!Q83),(-(SUMPRODUCT((Personnel!$O$9:$O$100="SP-Payroll")*(Personnel!$G$9:$G$100="Yes")*(12&gt;=Personnel!$E$9:$E$100)*((Personnel!$K$9:$K$100="")+(12&lt;=Personnel!$K$9:$K$100)&gt;0)*Personnel!$D$9:$D$100*(1-Personnel!$I$9:$I$100))))*Escalation!$B$13,Actuals!Q83)</f>
        <v>-54791.6666666667</v>
      </c>
      <c r="Q263" s="21" t="n">
        <f aca="false">IF(ISBLANK(Actuals!R83),(-(SUMPRODUCT((Personnel!$O$9:$O$100="SP-Payroll")*(Personnel!$G$9:$G$100="Yes")*(13&gt;=Personnel!$E$9:$E$100)*((Personnel!$K$9:$K$100="")+(13&lt;=Personnel!$K$9:$K$100)&gt;0)*Personnel!$D$9:$D$100*(1-Personnel!$I$9:$I$100))))*Escalation!$B$14,Actuals!R83)</f>
        <v>-54791.6666666667</v>
      </c>
      <c r="R263" s="21" t="n">
        <f aca="false">IF(ISBLANK(Actuals!S83),(-(SUMPRODUCT((Personnel!$O$9:$O$100="SP-Payroll")*(Personnel!$G$9:$G$100="Yes")*(14&gt;=Personnel!$E$9:$E$100)*((Personnel!$K$9:$K$100="")+(14&lt;=Personnel!$K$9:$K$100)&gt;0)*Personnel!$D$9:$D$100*(1-Personnel!$I$9:$I$100))))*Escalation!$B$15,Actuals!S83)</f>
        <v>-54791.6666666667</v>
      </c>
      <c r="S263" s="21" t="n">
        <f aca="false">IF(ISBLANK(Actuals!T83),(-(SUMPRODUCT((Personnel!$O$9:$O$100="SP-Payroll")*(Personnel!$G$9:$G$100="Yes")*(15&gt;=Personnel!$E$9:$E$100)*((Personnel!$K$9:$K$100="")+(15&lt;=Personnel!$K$9:$K$100)&gt;0)*Personnel!$D$9:$D$100*(1-Personnel!$I$9:$I$100))))*Escalation!$B$16,Actuals!T83)</f>
        <v>-54791.6666666667</v>
      </c>
      <c r="T263" s="21" t="n">
        <f aca="false">IF(ISBLANK(Actuals!U83),(-(SUMPRODUCT((Personnel!$O$9:$O$100="SP-Payroll")*(Personnel!$G$9:$G$100="Yes")*(16&gt;=Personnel!$E$9:$E$100)*((Personnel!$K$9:$K$100="")+(16&lt;=Personnel!$K$9:$K$100)&gt;0)*Personnel!$D$9:$D$100*(1-Personnel!$I$9:$I$100))))*Escalation!$B$17,Actuals!U83)</f>
        <v>-54791.6666666667</v>
      </c>
      <c r="U263" s="21" t="n">
        <f aca="false">IF(ISBLANK(Actuals!V83),(-(SUMPRODUCT((Personnel!$O$9:$O$100="SP-Payroll")*(Personnel!$G$9:$G$100="Yes")*(17&gt;=Personnel!$E$9:$E$100)*((Personnel!$K$9:$K$100="")+(17&lt;=Personnel!$K$9:$K$100)&gt;0)*Personnel!$D$9:$D$100*(1-Personnel!$I$9:$I$100))))*Escalation!$B$18,Actuals!V83)</f>
        <v>-54791.6666666667</v>
      </c>
      <c r="V263" s="21" t="n">
        <f aca="false">IF(ISBLANK(Actuals!W83),(-(SUMPRODUCT((Personnel!$O$9:$O$100="SP-Payroll")*(Personnel!$G$9:$G$100="Yes")*(18&gt;=Personnel!$E$9:$E$100)*((Personnel!$K$9:$K$100="")+(18&lt;=Personnel!$K$9:$K$100)&gt;0)*Personnel!$D$9:$D$100*(1-Personnel!$I$9:$I$100))))*Escalation!$B$19,Actuals!W83)</f>
        <v>-54791.6666666667</v>
      </c>
      <c r="W263" s="21" t="n">
        <f aca="false">IF(ISBLANK(Actuals!X83),(-(SUMPRODUCT((Personnel!$O$9:$O$100="SP-Payroll")*(Personnel!$G$9:$G$100="Yes")*(19&gt;=Personnel!$E$9:$E$100)*((Personnel!$K$9:$K$100="")+(19&lt;=Personnel!$K$9:$K$100)&gt;0)*Personnel!$D$9:$D$100*(1-Personnel!$I$9:$I$100))))*Escalation!$B$20,Actuals!X83)</f>
        <v>-54791.6666666667</v>
      </c>
      <c r="X263" s="21" t="n">
        <f aca="false">IF(ISBLANK(Actuals!Y83),(-(SUMPRODUCT((Personnel!$O$9:$O$100="SP-Payroll")*(Personnel!$G$9:$G$100="Yes")*(20&gt;=Personnel!$E$9:$E$100)*((Personnel!$K$9:$K$100="")+(20&lt;=Personnel!$K$9:$K$100)&gt;0)*Personnel!$D$9:$D$100*(1-Personnel!$I$9:$I$100))))*Escalation!$B$21,Actuals!Y83)</f>
        <v>-54791.6666666667</v>
      </c>
      <c r="Y263" s="21" t="n">
        <f aca="false">IF(ISBLANK(Actuals!Z83),(-(SUMPRODUCT((Personnel!$O$9:$O$100="SP-Payroll")*(Personnel!$G$9:$G$100="Yes")*(21&gt;=Personnel!$E$9:$E$100)*((Personnel!$K$9:$K$100="")+(21&lt;=Personnel!$K$9:$K$100)&gt;0)*Personnel!$D$9:$D$100*(1-Personnel!$I$9:$I$100))))*Escalation!$B$22,Actuals!Z83)</f>
        <v>-54791.6666666667</v>
      </c>
      <c r="Z263" s="21" t="n">
        <f aca="false">IF(ISBLANK(Actuals!AA83),(-(SUMPRODUCT((Personnel!$O$9:$O$100="SP-Payroll")*(Personnel!$G$9:$G$100="Yes")*(22&gt;=Personnel!$E$9:$E$100)*((Personnel!$K$9:$K$100="")+(22&lt;=Personnel!$K$9:$K$100)&gt;0)*Personnel!$D$9:$D$100*(1-Personnel!$I$9:$I$100))))*Escalation!$B$23,Actuals!AA83)</f>
        <v>-55887.5</v>
      </c>
      <c r="AA263" s="21" t="n">
        <f aca="false">IF(ISBLANK(Actuals!AB83),(-(SUMPRODUCT((Personnel!$O$9:$O$100="SP-Payroll")*(Personnel!$G$9:$G$100="Yes")*(23&gt;=Personnel!$E$9:$E$100)*((Personnel!$K$9:$K$100="")+(23&lt;=Personnel!$K$9:$K$100)&gt;0)*Personnel!$D$9:$D$100*(1-Personnel!$I$9:$I$100))))*Escalation!$B$24,Actuals!AB83)</f>
        <v>-55887.5</v>
      </c>
      <c r="AB263" s="21" t="n">
        <f aca="false">IF(ISBLANK(Actuals!AC83),(-(SUMPRODUCT((Personnel!$O$9:$O$100="SP-Payroll")*(Personnel!$G$9:$G$100="Yes")*(24&gt;=Personnel!$E$9:$E$100)*((Personnel!$K$9:$K$100="")+(24&lt;=Personnel!$K$9:$K$100)&gt;0)*Personnel!$D$9:$D$100*(1-Personnel!$I$9:$I$100))))*Escalation!$B$25,Actuals!AC83)</f>
        <v>-55887.5</v>
      </c>
      <c r="AC263" s="21" t="n">
        <f aca="false">IF(ISBLANK(Actuals!AD83),(-(SUMPRODUCT((Personnel!$O$9:$O$100="SP-Payroll")*(Personnel!$G$9:$G$100="Yes")*(25&gt;=Personnel!$E$9:$E$100)*((Personnel!$K$9:$K$100="")+(25&lt;=Personnel!$K$9:$K$100)&gt;0)*Personnel!$D$9:$D$100*(1-Personnel!$I$9:$I$100))))*Escalation!$B$26,Actuals!AD83)</f>
        <v>-55887.5</v>
      </c>
      <c r="AD263" s="21" t="n">
        <f aca="false">IF(ISBLANK(Actuals!AE83),(-(SUMPRODUCT((Personnel!$O$9:$O$100="SP-Payroll")*(Personnel!$G$9:$G$100="Yes")*(26&gt;=Personnel!$E$9:$E$100)*((Personnel!$K$9:$K$100="")+(26&lt;=Personnel!$K$9:$K$100)&gt;0)*Personnel!$D$9:$D$100*(1-Personnel!$I$9:$I$100))))*Escalation!$B$27,Actuals!AE83)</f>
        <v>-55887.5</v>
      </c>
      <c r="AE263" s="21" t="n">
        <f aca="false">IF(ISBLANK(Actuals!AF83),(-(SUMPRODUCT((Personnel!$O$9:$O$100="SP-Payroll")*(Personnel!$G$9:$G$100="Yes")*(27&gt;=Personnel!$E$9:$E$100)*((Personnel!$K$9:$K$100="")+(27&lt;=Personnel!$K$9:$K$100)&gt;0)*Personnel!$D$9:$D$100*(1-Personnel!$I$9:$I$100))))*Escalation!$B$28,Actuals!AF83)</f>
        <v>-55887.5</v>
      </c>
      <c r="AF263" s="21" t="n">
        <f aca="false">IF(ISBLANK(Actuals!AG83),(-(SUMPRODUCT((Personnel!$O$9:$O$100="SP-Payroll")*(Personnel!$G$9:$G$100="Yes")*(28&gt;=Personnel!$E$9:$E$100)*((Personnel!$K$9:$K$100="")+(28&lt;=Personnel!$K$9:$K$100)&gt;0)*Personnel!$D$9:$D$100*(1-Personnel!$I$9:$I$100))))*Escalation!$B$29,Actuals!AG83)</f>
        <v>-55887.5</v>
      </c>
      <c r="AG263" s="21" t="n">
        <f aca="false">IF(ISBLANK(Actuals!AH83),(-(SUMPRODUCT((Personnel!$O$9:$O$100="SP-Payroll")*(Personnel!$G$9:$G$100="Yes")*(29&gt;=Personnel!$E$9:$E$100)*((Personnel!$K$9:$K$100="")+(29&lt;=Personnel!$K$9:$K$100)&gt;0)*Personnel!$D$9:$D$100*(1-Personnel!$I$9:$I$100))))*Escalation!$B$30,Actuals!AH83)</f>
        <v>-55887.5</v>
      </c>
      <c r="AH263" s="21" t="n">
        <f aca="false">IF(ISBLANK(Actuals!AI83),(-(SUMPRODUCT((Personnel!$O$9:$O$100="SP-Payroll")*(Personnel!$G$9:$G$100="Yes")*(30&gt;=Personnel!$E$9:$E$100)*((Personnel!$K$9:$K$100="")+(30&lt;=Personnel!$K$9:$K$100)&gt;0)*Personnel!$D$9:$D$100*(1-Personnel!$I$9:$I$100))))*Escalation!$B$31,Actuals!AI83)</f>
        <v>-55887.5</v>
      </c>
      <c r="AI263" s="21" t="n">
        <f aca="false">IF(ISBLANK(Actuals!AJ83),(-(SUMPRODUCT((Personnel!$O$9:$O$100="SP-Payroll")*(Personnel!$G$9:$G$100="Yes")*(31&gt;=Personnel!$E$9:$E$100)*((Personnel!$K$9:$K$100="")+(31&lt;=Personnel!$K$9:$K$100)&gt;0)*Personnel!$D$9:$D$100*(1-Personnel!$I$9:$I$100))))*Escalation!$B$32,Actuals!AJ83)</f>
        <v>-55887.5</v>
      </c>
      <c r="AJ263" s="21" t="n">
        <f aca="false">IF(ISBLANK(Actuals!AK83),(-(SUMPRODUCT((Personnel!$O$9:$O$100="SP-Payroll")*(Personnel!$G$9:$G$100="Yes")*(32&gt;=Personnel!$E$9:$E$100)*((Personnel!$K$9:$K$100="")+(32&lt;=Personnel!$K$9:$K$100)&gt;0)*Personnel!$D$9:$D$100*(1-Personnel!$I$9:$I$100))))*Escalation!$B$33,Actuals!AK83)</f>
        <v>-55887.5</v>
      </c>
      <c r="AK263" s="21" t="n">
        <f aca="false">IF(ISBLANK(Actuals!AL83),(-(SUMPRODUCT((Personnel!$O$9:$O$100="SP-Payroll")*(Personnel!$G$9:$G$100="Yes")*(33&gt;=Personnel!$E$9:$E$100)*((Personnel!$K$9:$K$100="")+(33&lt;=Personnel!$K$9:$K$100)&gt;0)*Personnel!$D$9:$D$100*(1-Personnel!$I$9:$I$100))))*Escalation!$B$34,Actuals!AL83)</f>
        <v>-55887.5</v>
      </c>
      <c r="AL263" s="21" t="n">
        <f aca="false">IF(ISBLANK(Actuals!AM83),(-(SUMPRODUCT((Personnel!$O$9:$O$100="SP-Payroll")*(Personnel!$G$9:$G$100="Yes")*(34&gt;=Personnel!$E$9:$E$100)*((Personnel!$K$9:$K$100="")+(34&lt;=Personnel!$K$9:$K$100)&gt;0)*Personnel!$D$9:$D$100*(1-Personnel!$I$9:$I$100))))*Escalation!$B$35,Actuals!AM83)</f>
        <v>-57005.25</v>
      </c>
      <c r="AM263" s="21" t="n">
        <f aca="false">IF(ISBLANK(Actuals!AN83),(-(SUMPRODUCT((Personnel!$O$9:$O$100="SP-Payroll")*(Personnel!$G$9:$G$100="Yes")*(35&gt;=Personnel!$E$9:$E$100)*((Personnel!$K$9:$K$100="")+(35&lt;=Personnel!$K$9:$K$100)&gt;0)*Personnel!$D$9:$D$100*(1-Personnel!$I$9:$I$100))))*Escalation!$B$36,Actuals!AN83)</f>
        <v>-57005.25</v>
      </c>
      <c r="AN263" s="21" t="n">
        <f aca="false">IF(ISBLANK(Actuals!AO83),(-(SUMPRODUCT((Personnel!$O$9:$O$100="SP-Payroll")*(Personnel!$G$9:$G$100="Yes")*(36&gt;=Personnel!$E$9:$E$100)*((Personnel!$K$9:$K$100="")+(36&lt;=Personnel!$K$9:$K$100)&gt;0)*Personnel!$D$9:$D$100*(1-Personnel!$I$9:$I$100))))*Escalation!$B$37,Actuals!AO83)</f>
        <v>-57005.25</v>
      </c>
      <c r="AO263" s="21" t="n">
        <f aca="false">IF(ISBLANK(Actuals!AP83),(-(SUMPRODUCT((Personnel!$O$9:$O$100="SP-Payroll")*(Personnel!$G$9:$G$100="Yes")*(37&gt;=Personnel!$E$9:$E$100)*((Personnel!$K$9:$K$100="")+(37&lt;=Personnel!$K$9:$K$100)&gt;0)*Personnel!$D$9:$D$100*(1-Personnel!$I$9:$I$100))))*Escalation!$B$38,Actuals!AP83)</f>
        <v>-57005.25</v>
      </c>
      <c r="AP263" s="21" t="n">
        <f aca="false">IF(ISBLANK(Actuals!AQ83),(-(SUMPRODUCT((Personnel!$O$9:$O$100="SP-Payroll")*(Personnel!$G$9:$G$100="Yes")*(38&gt;=Personnel!$E$9:$E$100)*((Personnel!$K$9:$K$100="")+(38&lt;=Personnel!$K$9:$K$100)&gt;0)*Personnel!$D$9:$D$100*(1-Personnel!$I$9:$I$100))))*Escalation!$B$39,Actuals!AQ83)</f>
        <v>-57005.25</v>
      </c>
      <c r="AQ263" s="21" t="n">
        <f aca="false">IF(ISBLANK(Actuals!AR83),(-(SUMPRODUCT((Personnel!$O$9:$O$100="SP-Payroll")*(Personnel!$G$9:$G$100="Yes")*(39&gt;=Personnel!$E$9:$E$100)*((Personnel!$K$9:$K$100="")+(39&lt;=Personnel!$K$9:$K$100)&gt;0)*Personnel!$D$9:$D$100*(1-Personnel!$I$9:$I$100))))*Escalation!$B$40,Actuals!AR83)</f>
        <v>-57005.25</v>
      </c>
      <c r="AR263" s="21" t="n">
        <f aca="false">IF(ISBLANK(Actuals!AS83),(-(SUMPRODUCT((Personnel!$O$9:$O$100="SP-Payroll")*(Personnel!$G$9:$G$100="Yes")*(40&gt;=Personnel!$E$9:$E$100)*((Personnel!$K$9:$K$100="")+(40&lt;=Personnel!$K$9:$K$100)&gt;0)*Personnel!$D$9:$D$100*(1-Personnel!$I$9:$I$100))))*Escalation!$B$41,Actuals!AS83)</f>
        <v>-57005.25</v>
      </c>
      <c r="AS263" s="21" t="n">
        <f aca="false">IF(ISBLANK(Actuals!AT83),(-(SUMPRODUCT((Personnel!$O$9:$O$100="SP-Payroll")*(Personnel!$G$9:$G$100="Yes")*(41&gt;=Personnel!$E$9:$E$100)*((Personnel!$K$9:$K$100="")+(41&lt;=Personnel!$K$9:$K$100)&gt;0)*Personnel!$D$9:$D$100*(1-Personnel!$I$9:$I$100))))*Escalation!$B$42,Actuals!AT83)</f>
        <v>-57005.25</v>
      </c>
      <c r="AT263" s="21" t="n">
        <f aca="false">IF(ISBLANK(Actuals!AU83),(-(SUMPRODUCT((Personnel!$O$9:$O$100="SP-Payroll")*(Personnel!$G$9:$G$100="Yes")*(42&gt;=Personnel!$E$9:$E$100)*((Personnel!$K$9:$K$100="")+(42&lt;=Personnel!$K$9:$K$100)&gt;0)*Personnel!$D$9:$D$100*(1-Personnel!$I$9:$I$100))))*Escalation!$B$43,Actuals!AU83)</f>
        <v>-57005.25</v>
      </c>
      <c r="AU263" s="21" t="n">
        <f aca="false">IF(ISBLANK(Actuals!AV83),(-(SUMPRODUCT((Personnel!$O$9:$O$100="SP-Payroll")*(Personnel!$G$9:$G$100="Yes")*(43&gt;=Personnel!$E$9:$E$100)*((Personnel!$K$9:$K$100="")+(43&lt;=Personnel!$K$9:$K$100)&gt;0)*Personnel!$D$9:$D$100*(1-Personnel!$I$9:$I$100))))*Escalation!$B$44,Actuals!AV83)</f>
        <v>-57005.25</v>
      </c>
      <c r="AV263" s="21" t="n">
        <f aca="false">IF(ISBLANK(Actuals!AW83),(-(SUMPRODUCT((Personnel!$O$9:$O$100="SP-Payroll")*(Personnel!$G$9:$G$100="Yes")*(44&gt;=Personnel!$E$9:$E$100)*((Personnel!$K$9:$K$100="")+(44&lt;=Personnel!$K$9:$K$100)&gt;0)*Personnel!$D$9:$D$100*(1-Personnel!$I$9:$I$100))))*Escalation!$B$45,Actuals!AW83)</f>
        <v>-57005.25</v>
      </c>
      <c r="AW263" s="21" t="n">
        <f aca="false">IF(ISBLANK(Actuals!AX83),(-(SUMPRODUCT((Personnel!$O$9:$O$100="SP-Payroll")*(Personnel!$G$9:$G$100="Yes")*(45&gt;=Personnel!$E$9:$E$100)*((Personnel!$K$9:$K$100="")+(45&lt;=Personnel!$K$9:$K$100)&gt;0)*Personnel!$D$9:$D$100*(1-Personnel!$I$9:$I$100))))*Escalation!$B$46,Actuals!AX83)</f>
        <v>-57005.25</v>
      </c>
      <c r="AX263" s="21" t="n">
        <f aca="false">IF(ISBLANK(Actuals!AY83),(-(SUMPRODUCT((Personnel!$O$9:$O$100="SP-Payroll")*(Personnel!$G$9:$G$100="Yes")*(46&gt;=Personnel!$E$9:$E$100)*((Personnel!$K$9:$K$100="")+(46&lt;=Personnel!$K$9:$K$100)&gt;0)*Personnel!$D$9:$D$100*(1-Personnel!$I$9:$I$100))))*Escalation!$B$47,Actuals!AY83)</f>
        <v>-58145.355</v>
      </c>
      <c r="AY263" s="21" t="n">
        <f aca="false">IF(ISBLANK(Actuals!AZ83),(-(SUMPRODUCT((Personnel!$O$9:$O$100="SP-Payroll")*(Personnel!$G$9:$G$100="Yes")*(47&gt;=Personnel!$E$9:$E$100)*((Personnel!$K$9:$K$100="")+(47&lt;=Personnel!$K$9:$K$100)&gt;0)*Personnel!$D$9:$D$100*(1-Personnel!$I$9:$I$100))))*Escalation!$B$48,Actuals!AZ83)</f>
        <v>-58145.355</v>
      </c>
      <c r="AZ263" s="21" t="n">
        <f aca="false">IF(ISBLANK(Actuals!BA83),(-(SUMPRODUCT((Personnel!$O$9:$O$100="SP-Payroll")*(Personnel!$G$9:$G$100="Yes")*(48&gt;=Personnel!$E$9:$E$100)*((Personnel!$K$9:$K$100="")+(48&lt;=Personnel!$K$9:$K$100)&gt;0)*Personnel!$D$9:$D$100*(1-Personnel!$I$9:$I$100))))*Escalation!$B$49,Actuals!BA83)</f>
        <v>-58145.355</v>
      </c>
      <c r="BA263" s="21" t="n">
        <f aca="false">IF(ISBLANK(Actuals!BB83),(-(SUMPRODUCT((Personnel!$O$9:$O$100="SP-Payroll")*(Personnel!$G$9:$G$100="Yes")*(49&gt;=Personnel!$E$9:$E$100)*((Personnel!$K$9:$K$100="")+(49&lt;=Personnel!$K$9:$K$100)&gt;0)*Personnel!$D$9:$D$100*(1-Personnel!$I$9:$I$100))))*Escalation!$B$50,Actuals!BB83)</f>
        <v>-58145.355</v>
      </c>
      <c r="BB263" s="21" t="n">
        <f aca="false">IF(ISBLANK(Actuals!BC83),(-(SUMPRODUCT((Personnel!$O$9:$O$100="SP-Payroll")*(Personnel!$G$9:$G$100="Yes")*(50&gt;=Personnel!$E$9:$E$100)*((Personnel!$K$9:$K$100="")+(50&lt;=Personnel!$K$9:$K$100)&gt;0)*Personnel!$D$9:$D$100*(1-Personnel!$I$9:$I$100))))*Escalation!$B$51,Actuals!BC83)</f>
        <v>-58145.355</v>
      </c>
      <c r="BC263" s="21" t="n">
        <f aca="false">IF(ISBLANK(Actuals!BD83),(-(SUMPRODUCT((Personnel!$O$9:$O$100="SP-Payroll")*(Personnel!$G$9:$G$100="Yes")*(51&gt;=Personnel!$E$9:$E$100)*((Personnel!$K$9:$K$100="")+(51&lt;=Personnel!$K$9:$K$100)&gt;0)*Personnel!$D$9:$D$100*(1-Personnel!$I$9:$I$100))))*Escalation!$B$52,Actuals!BD83)</f>
        <v>-58145.355</v>
      </c>
      <c r="BD263" s="21" t="n">
        <f aca="false">IF(ISBLANK(Actuals!BE83),(-(SUMPRODUCT((Personnel!$O$9:$O$100="SP-Payroll")*(Personnel!$G$9:$G$100="Yes")*(52&gt;=Personnel!$E$9:$E$100)*((Personnel!$K$9:$K$100="")+(52&lt;=Personnel!$K$9:$K$100)&gt;0)*Personnel!$D$9:$D$100*(1-Personnel!$I$9:$I$100))))*Escalation!$B$53,Actuals!BE83)</f>
        <v>-58145.355</v>
      </c>
      <c r="BE263" s="21" t="n">
        <f aca="false">IF(ISBLANK(Actuals!BF83),(-(SUMPRODUCT((Personnel!$O$9:$O$100="SP-Payroll")*(Personnel!$G$9:$G$100="Yes")*(53&gt;=Personnel!$E$9:$E$100)*((Personnel!$K$9:$K$100="")+(53&lt;=Personnel!$K$9:$K$100)&gt;0)*Personnel!$D$9:$D$100*(1-Personnel!$I$9:$I$100))))*Escalation!$B$54,Actuals!BF83)</f>
        <v>-58145.355</v>
      </c>
      <c r="BF263" s="21" t="n">
        <f aca="false">IF(ISBLANK(Actuals!BG83),(-(SUMPRODUCT((Personnel!$O$9:$O$100="SP-Payroll")*(Personnel!$G$9:$G$100="Yes")*(54&gt;=Personnel!$E$9:$E$100)*((Personnel!$K$9:$K$100="")+(54&lt;=Personnel!$K$9:$K$100)&gt;0)*Personnel!$D$9:$D$100*(1-Personnel!$I$9:$I$100))))*Escalation!$B$55,Actuals!BG83)</f>
        <v>-58145.355</v>
      </c>
      <c r="BG263" s="21" t="n">
        <f aca="false">IF(ISBLANK(Actuals!BH83),(-(SUMPRODUCT((Personnel!$O$9:$O$100="SP-Payroll")*(Personnel!$G$9:$G$100="Yes")*(55&gt;=Personnel!$E$9:$E$100)*((Personnel!$K$9:$K$100="")+(55&lt;=Personnel!$K$9:$K$100)&gt;0)*Personnel!$D$9:$D$100*(1-Personnel!$I$9:$I$100))))*Escalation!$B$56,Actuals!BH83)</f>
        <v>-58145.355</v>
      </c>
      <c r="BH263" s="21" t="n">
        <f aca="false">IF(ISBLANK(Actuals!BI83),(-(SUMPRODUCT((Personnel!$O$9:$O$100="SP-Payroll")*(Personnel!$G$9:$G$100="Yes")*(56&gt;=Personnel!$E$9:$E$100)*((Personnel!$K$9:$K$100="")+(56&lt;=Personnel!$K$9:$K$100)&gt;0)*Personnel!$D$9:$D$100*(1-Personnel!$I$9:$I$100))))*Escalation!$B$57,Actuals!BI83)</f>
        <v>-58145.355</v>
      </c>
      <c r="BI263" s="21" t="n">
        <f aca="false">IF(ISBLANK(Actuals!BJ83),(-(SUMPRODUCT((Personnel!$O$9:$O$100="SP-Payroll")*(Personnel!$G$9:$G$100="Yes")*(57&gt;=Personnel!$E$9:$E$100)*((Personnel!$K$9:$K$100="")+(57&lt;=Personnel!$K$9:$K$100)&gt;0)*Personnel!$D$9:$D$100*(1-Personnel!$I$9:$I$100))))*Escalation!$B$58,Actuals!BJ83)</f>
        <v>-58145.355</v>
      </c>
      <c r="BJ263" s="21" t="n">
        <f aca="false">IF(ISBLANK(Actuals!BK83),(-(SUMPRODUCT((Personnel!$O$9:$O$100="SP-Payroll")*(Personnel!$G$9:$G$100="Yes")*(58&gt;=Personnel!$E$9:$E$100)*((Personnel!$K$9:$K$100="")+(58&lt;=Personnel!$K$9:$K$100)&gt;0)*Personnel!$D$9:$D$100*(1-Personnel!$I$9:$I$100))))*Escalation!$B$59,Actuals!BK83)</f>
        <v>-59308.2621</v>
      </c>
      <c r="BK263" s="21" t="n">
        <f aca="false">IF(ISBLANK(Actuals!BL83),(-(SUMPRODUCT((Personnel!$O$9:$O$100="SP-Payroll")*(Personnel!$G$9:$G$100="Yes")*(59&gt;=Personnel!$E$9:$E$100)*((Personnel!$K$9:$K$100="")+(59&lt;=Personnel!$K$9:$K$100)&gt;0)*Personnel!$D$9:$D$100*(1-Personnel!$I$9:$I$100))))*Escalation!$B$60,Actuals!BL83)</f>
        <v>-59308.2621</v>
      </c>
      <c r="BL263" s="21" t="n">
        <f aca="false">IF(ISBLANK(Actuals!BM83),(-(SUMPRODUCT((Personnel!$O$9:$O$100="SP-Payroll")*(Personnel!$G$9:$G$100="Yes")*(60&gt;=Personnel!$E$9:$E$100)*((Personnel!$K$9:$K$100="")+(60&lt;=Personnel!$K$9:$K$100)&gt;0)*Personnel!$D$9:$D$100*(1-Personnel!$I$9:$I$100))))*Escalation!$B$61,Actuals!BM83)</f>
        <v>-59308.2621</v>
      </c>
      <c r="BM263" s="21" t="n">
        <f aca="false">IF(ISBLANK(Actuals!BN83),(-(SUMPRODUCT((Personnel!$O$9:$O$100="SP-Payroll")*(Personnel!$G$9:$G$100="Yes")*(61&gt;=Personnel!$E$9:$E$100)*((Personnel!$K$9:$K$100="")+(61&lt;=Personnel!$K$9:$K$100)&gt;0)*Personnel!$D$9:$D$100*(1-Personnel!$I$9:$I$100))))*Escalation!$B$62,Actuals!BN83)</f>
        <v>-59308.2621</v>
      </c>
      <c r="BN263" s="21" t="n">
        <f aca="false">IF(ISBLANK(Actuals!BO83),(-(SUMPRODUCT((Personnel!$O$9:$O$100="SP-Payroll")*(Personnel!$G$9:$G$100="Yes")*(62&gt;=Personnel!$E$9:$E$100)*((Personnel!$K$9:$K$100="")+(62&lt;=Personnel!$K$9:$K$100)&gt;0)*Personnel!$D$9:$D$100*(1-Personnel!$I$9:$I$100))))*Escalation!$B$63,Actuals!BO83)</f>
        <v>-59308.2621</v>
      </c>
      <c r="BO263" s="21" t="n">
        <f aca="false">IF(ISBLANK(Actuals!BP83),(-(SUMPRODUCT((Personnel!$O$9:$O$100="SP-Payroll")*(Personnel!$G$9:$G$100="Yes")*(63&gt;=Personnel!$E$9:$E$100)*((Personnel!$K$9:$K$100="")+(63&lt;=Personnel!$K$9:$K$100)&gt;0)*Personnel!$D$9:$D$100*(1-Personnel!$I$9:$I$100))))*Escalation!$B$64,Actuals!BP83)</f>
        <v>-59308.2621</v>
      </c>
      <c r="BP263" s="21" t="n">
        <f aca="false">IF(ISBLANK(Actuals!BQ83),(-(SUMPRODUCT((Personnel!$O$9:$O$100="SP-Payroll")*(Personnel!$G$9:$G$100="Yes")*(64&gt;=Personnel!$E$9:$E$100)*((Personnel!$K$9:$K$100="")+(64&lt;=Personnel!$K$9:$K$100)&gt;0)*Personnel!$D$9:$D$100*(1-Personnel!$I$9:$I$100))))*Escalation!$B$65,Actuals!BQ83)</f>
        <v>-59308.2621</v>
      </c>
      <c r="BQ263" s="21" t="n">
        <f aca="false">IF(ISBLANK(Actuals!BR83),(-(SUMPRODUCT((Personnel!$O$9:$O$100="SP-Payroll")*(Personnel!$G$9:$G$100="Yes")*(65&gt;=Personnel!$E$9:$E$100)*((Personnel!$K$9:$K$100="")+(65&lt;=Personnel!$K$9:$K$100)&gt;0)*Personnel!$D$9:$D$100*(1-Personnel!$I$9:$I$100))))*Escalation!$B$66,Actuals!BR83)</f>
        <v>-59308.2621</v>
      </c>
      <c r="BR263" s="21" t="n">
        <f aca="false">IF(ISBLANK(Actuals!BS83),(-(SUMPRODUCT((Personnel!$O$9:$O$100="SP-Payroll")*(Personnel!$G$9:$G$100="Yes")*(66&gt;=Personnel!$E$9:$E$100)*((Personnel!$K$9:$K$100="")+(66&lt;=Personnel!$K$9:$K$100)&gt;0)*Personnel!$D$9:$D$100*(1-Personnel!$I$9:$I$100))))*Escalation!$B$67,Actuals!BS83)</f>
        <v>-59308.2621</v>
      </c>
      <c r="BS263" s="21" t="n">
        <f aca="false">IF(ISBLANK(Actuals!BT83),(-(SUMPRODUCT((Personnel!$O$9:$O$100="SP-Payroll")*(Personnel!$G$9:$G$100="Yes")*(67&gt;=Personnel!$E$9:$E$100)*((Personnel!$K$9:$K$100="")+(67&lt;=Personnel!$K$9:$K$100)&gt;0)*Personnel!$D$9:$D$100*(1-Personnel!$I$9:$I$100))))*Escalation!$B$68,Actuals!BT83)</f>
        <v>-59308.2621</v>
      </c>
      <c r="BT263" s="21" t="n">
        <f aca="false">IF(ISBLANK(Actuals!BU83),(-(SUMPRODUCT((Personnel!$O$9:$O$100="SP-Payroll")*(Personnel!$G$9:$G$100="Yes")*(68&gt;=Personnel!$E$9:$E$100)*((Personnel!$K$9:$K$100="")+(68&lt;=Personnel!$K$9:$K$100)&gt;0)*Personnel!$D$9:$D$100*(1-Personnel!$I$9:$I$100))))*Escalation!$B$69,Actuals!BU83)</f>
        <v>-59308.2621</v>
      </c>
      <c r="BU263" s="21" t="n">
        <f aca="false">IF(ISBLANK(Actuals!BV83),(-(SUMPRODUCT((Personnel!$O$9:$O$100="SP-Payroll")*(Personnel!$G$9:$G$100="Yes")*(69&gt;=Personnel!$E$9:$E$100)*((Personnel!$K$9:$K$100="")+(69&lt;=Personnel!$K$9:$K$100)&gt;0)*Personnel!$D$9:$D$100*(1-Personnel!$I$9:$I$100))))*Escalation!$B$70,Actuals!BV83)</f>
        <v>-59308.2621</v>
      </c>
      <c r="BV263" s="21" t="n">
        <f aca="false">IF(ISBLANK(Actuals!BW83),(-(SUMPRODUCT((Personnel!$O$9:$O$100="SP-Payroll")*(Personnel!$G$9:$G$100="Yes")*(70&gt;=Personnel!$E$9:$E$100)*((Personnel!$K$9:$K$100="")+(70&lt;=Personnel!$K$9:$K$100)&gt;0)*Personnel!$D$9:$D$100*(1-Personnel!$I$9:$I$100))))*Escalation!$B$71,Actuals!BW83)</f>
        <v>-60494.427342</v>
      </c>
      <c r="BW263" s="21" t="n">
        <f aca="false">IF(ISBLANK(Actuals!BX83),(-(SUMPRODUCT((Personnel!$O$9:$O$100="SP-Payroll")*(Personnel!$G$9:$G$100="Yes")*(71&gt;=Personnel!$E$9:$E$100)*((Personnel!$K$9:$K$100="")+(71&lt;=Personnel!$K$9:$K$100)&gt;0)*Personnel!$D$9:$D$100*(1-Personnel!$I$9:$I$100))))*Escalation!$B$72,Actuals!BX83)</f>
        <v>-60494.427342</v>
      </c>
      <c r="BX263" s="21" t="n">
        <f aca="false">IF(ISBLANK(Actuals!BY83),(-(SUMPRODUCT((Personnel!$O$9:$O$100="SP-Payroll")*(Personnel!$G$9:$G$100="Yes")*(72&gt;=Personnel!$E$9:$E$100)*((Personnel!$K$9:$K$100="")+(72&lt;=Personnel!$K$9:$K$100)&gt;0)*Personnel!$D$9:$D$100*(1-Personnel!$I$9:$I$100))))*Escalation!$B$73,Actuals!BY83)</f>
        <v>-60494.427342</v>
      </c>
      <c r="BY263" s="21" t="n">
        <f aca="false">IF(ISBLANK(Actuals!BZ83),(-(SUMPRODUCT((Personnel!$O$9:$O$100="SP-Payroll")*(Personnel!$G$9:$G$100="Yes")*(73&gt;=Personnel!$E$9:$E$100)*((Personnel!$K$9:$K$100="")+(73&lt;=Personnel!$K$9:$K$100)&gt;0)*Personnel!$D$9:$D$100*(1-Personnel!$I$9:$I$100))))*Escalation!$B$74,Actuals!BZ83)</f>
        <v>-60494.427342</v>
      </c>
      <c r="BZ263" s="21" t="n">
        <f aca="false">IF(ISBLANK(Actuals!CA83),(-(SUMPRODUCT((Personnel!$O$9:$O$100="SP-Payroll")*(Personnel!$G$9:$G$100="Yes")*(74&gt;=Personnel!$E$9:$E$100)*((Personnel!$K$9:$K$100="")+(74&lt;=Personnel!$K$9:$K$100)&gt;0)*Personnel!$D$9:$D$100*(1-Personnel!$I$9:$I$100))))*Escalation!$B$75,Actuals!CA83)</f>
        <v>-60494.427342</v>
      </c>
      <c r="CA263" s="21" t="n">
        <f aca="false">IF(ISBLANK(Actuals!CB83),(-(SUMPRODUCT((Personnel!$O$9:$O$100="SP-Payroll")*(Personnel!$G$9:$G$100="Yes")*(75&gt;=Personnel!$E$9:$E$100)*((Personnel!$K$9:$K$100="")+(75&lt;=Personnel!$K$9:$K$100)&gt;0)*Personnel!$D$9:$D$100*(1-Personnel!$I$9:$I$100))))*Escalation!$B$76,Actuals!CB83)</f>
        <v>-60494.427342</v>
      </c>
      <c r="CB263" s="21" t="n">
        <f aca="false">IF(ISBLANK(Actuals!CC83),(-(SUMPRODUCT((Personnel!$O$9:$O$100="SP-Payroll")*(Personnel!$G$9:$G$100="Yes")*(76&gt;=Personnel!$E$9:$E$100)*((Personnel!$K$9:$K$100="")+(76&lt;=Personnel!$K$9:$K$100)&gt;0)*Personnel!$D$9:$D$100*(1-Personnel!$I$9:$I$100))))*Escalation!$B$77,Actuals!CC83)</f>
        <v>-60494.427342</v>
      </c>
      <c r="CC263" s="21" t="n">
        <f aca="false">IF(ISBLANK(Actuals!CD83),(-(SUMPRODUCT((Personnel!$O$9:$O$100="SP-Payroll")*(Personnel!$G$9:$G$100="Yes")*(77&gt;=Personnel!$E$9:$E$100)*((Personnel!$K$9:$K$100="")+(77&lt;=Personnel!$K$9:$K$100)&gt;0)*Personnel!$D$9:$D$100*(1-Personnel!$I$9:$I$100))))*Escalation!$B$78,Actuals!CD83)</f>
        <v>-60494.427342</v>
      </c>
      <c r="CD263" s="21" t="n">
        <f aca="false">IF(ISBLANK(Actuals!CE83),(-(SUMPRODUCT((Personnel!$O$9:$O$100="SP-Payroll")*(Personnel!$G$9:$G$100="Yes")*(78&gt;=Personnel!$E$9:$E$100)*((Personnel!$K$9:$K$100="")+(78&lt;=Personnel!$K$9:$K$100)&gt;0)*Personnel!$D$9:$D$100*(1-Personnel!$I$9:$I$100))))*Escalation!$B$79,Actuals!CE83)</f>
        <v>-60494.427342</v>
      </c>
      <c r="CE263" s="21" t="n">
        <f aca="false">IF(ISBLANK(Actuals!CF83),(-(SUMPRODUCT((Personnel!$O$9:$O$100="SP-Payroll")*(Personnel!$G$9:$G$100="Yes")*(79&gt;=Personnel!$E$9:$E$100)*((Personnel!$K$9:$K$100="")+(79&lt;=Personnel!$K$9:$K$100)&gt;0)*Personnel!$D$9:$D$100*(1-Personnel!$I$9:$I$100))))*Escalation!$B$80,Actuals!CF83)</f>
        <v>-60494.427342</v>
      </c>
      <c r="CF263" s="21" t="n">
        <f aca="false">IF(ISBLANK(Actuals!CG83),(-(SUMPRODUCT((Personnel!$O$9:$O$100="SP-Payroll")*(Personnel!$G$9:$G$100="Yes")*(80&gt;=Personnel!$E$9:$E$100)*((Personnel!$K$9:$K$100="")+(80&lt;=Personnel!$K$9:$K$100)&gt;0)*Personnel!$D$9:$D$100*(1-Personnel!$I$9:$I$100))))*Escalation!$B$81,Actuals!CG83)</f>
        <v>-60494.427342</v>
      </c>
      <c r="CG263" s="21" t="n">
        <f aca="false">IF(ISBLANK(Actuals!CH83),(-(SUMPRODUCT((Personnel!$O$9:$O$100="SP-Payroll")*(Personnel!$G$9:$G$100="Yes")*(81&gt;=Personnel!$E$9:$E$100)*((Personnel!$K$9:$K$100="")+(81&lt;=Personnel!$K$9:$K$100)&gt;0)*Personnel!$D$9:$D$100*(1-Personnel!$I$9:$I$100))))*Escalation!$B$82,Actuals!CH83)</f>
        <v>-60494.427342</v>
      </c>
      <c r="CH263" s="21" t="n">
        <f aca="false">IF(ISBLANK(Actuals!CI83),(-(SUMPRODUCT((Personnel!$O$9:$O$100="SP-Payroll")*(Personnel!$G$9:$G$100="Yes")*(82&gt;=Personnel!$E$9:$E$100)*((Personnel!$K$9:$K$100="")+(82&lt;=Personnel!$K$9:$K$100)&gt;0)*Personnel!$D$9:$D$100*(1-Personnel!$I$9:$I$100))))*Escalation!$B$83,Actuals!CI83)</f>
        <v>-61704.31588884</v>
      </c>
      <c r="CI263" s="21" t="n">
        <f aca="false">IF(ISBLANK(Actuals!CJ83),(-(SUMPRODUCT((Personnel!$O$9:$O$100="SP-Payroll")*(Personnel!$G$9:$G$100="Yes")*(83&gt;=Personnel!$E$9:$E$100)*((Personnel!$K$9:$K$100="")+(83&lt;=Personnel!$K$9:$K$100)&gt;0)*Personnel!$D$9:$D$100*(1-Personnel!$I$9:$I$100))))*Escalation!$B$84,Actuals!CJ83)</f>
        <v>-61704.31588884</v>
      </c>
      <c r="CJ263" s="21" t="n">
        <f aca="false">IF(ISBLANK(Actuals!CK83),(-(SUMPRODUCT((Personnel!$O$9:$O$100="SP-Payroll")*(Personnel!$G$9:$G$100="Yes")*(84&gt;=Personnel!$E$9:$E$100)*((Personnel!$K$9:$K$100="")+(84&lt;=Personnel!$K$9:$K$100)&gt;0)*Personnel!$D$9:$D$100*(1-Personnel!$I$9:$I$100))))*Escalation!$B$85,Actuals!CK83)</f>
        <v>-61704.31588884</v>
      </c>
      <c r="CK263" s="21" t="n">
        <f aca="false">IF(ISBLANK(Actuals!CL83),(-(SUMPRODUCT((Personnel!$O$9:$O$100="SP-Payroll")*(Personnel!$G$9:$G$100="Yes")*(85&gt;=Personnel!$E$9:$E$100)*((Personnel!$K$9:$K$100="")+(85&lt;=Personnel!$K$9:$K$100)&gt;0)*Personnel!$D$9:$D$100*(1-Personnel!$I$9:$I$100))))*Escalation!$B$86,Actuals!CL83)</f>
        <v>-61704.31588884</v>
      </c>
      <c r="CL263" s="21" t="n">
        <f aca="false">IF(ISBLANK(Actuals!CM83),(-(SUMPRODUCT((Personnel!$O$9:$O$100="SP-Payroll")*(Personnel!$G$9:$G$100="Yes")*(86&gt;=Personnel!$E$9:$E$100)*((Personnel!$K$9:$K$100="")+(86&lt;=Personnel!$K$9:$K$100)&gt;0)*Personnel!$D$9:$D$100*(1-Personnel!$I$9:$I$100))))*Escalation!$B$87,Actuals!CM83)</f>
        <v>-61704.31588884</v>
      </c>
      <c r="CM263" s="21" t="n">
        <f aca="false">IF(ISBLANK(Actuals!CN83),(-(SUMPRODUCT((Personnel!$O$9:$O$100="SP-Payroll")*(Personnel!$G$9:$G$100="Yes")*(87&gt;=Personnel!$E$9:$E$100)*((Personnel!$K$9:$K$100="")+(87&lt;=Personnel!$K$9:$K$100)&gt;0)*Personnel!$D$9:$D$100*(1-Personnel!$I$9:$I$100))))*Escalation!$B$88,Actuals!CN83)</f>
        <v>-61704.31588884</v>
      </c>
      <c r="CN263" s="21" t="n">
        <f aca="false">IF(ISBLANK(Actuals!CO83),(-(SUMPRODUCT((Personnel!$O$9:$O$100="SP-Payroll")*(Personnel!$G$9:$G$100="Yes")*(88&gt;=Personnel!$E$9:$E$100)*((Personnel!$K$9:$K$100="")+(88&lt;=Personnel!$K$9:$K$100)&gt;0)*Personnel!$D$9:$D$100*(1-Personnel!$I$9:$I$100))))*Escalation!$B$89,Actuals!CO83)</f>
        <v>-61704.31588884</v>
      </c>
      <c r="CO263" s="21" t="n">
        <f aca="false">IF(ISBLANK(Actuals!CP83),(-(SUMPRODUCT((Personnel!$O$9:$O$100="SP-Payroll")*(Personnel!$G$9:$G$100="Yes")*(89&gt;=Personnel!$E$9:$E$100)*((Personnel!$K$9:$K$100="")+(89&lt;=Personnel!$K$9:$K$100)&gt;0)*Personnel!$D$9:$D$100*(1-Personnel!$I$9:$I$100))))*Escalation!$B$90,Actuals!CP83)</f>
        <v>-61704.31588884</v>
      </c>
      <c r="CP263" s="21" t="n">
        <f aca="false">IF(ISBLANK(Actuals!CQ83),(-(SUMPRODUCT((Personnel!$O$9:$O$100="SP-Payroll")*(Personnel!$G$9:$G$100="Yes")*(90&gt;=Personnel!$E$9:$E$100)*((Personnel!$K$9:$K$100="")+(90&lt;=Personnel!$K$9:$K$100)&gt;0)*Personnel!$D$9:$D$100*(1-Personnel!$I$9:$I$100))))*Escalation!$B$91,Actuals!CQ83)</f>
        <v>-61704.31588884</v>
      </c>
      <c r="CQ263" s="21" t="n">
        <f aca="false">IF(ISBLANK(Actuals!CR83),(-(SUMPRODUCT((Personnel!$O$9:$O$100="SP-Payroll")*(Personnel!$G$9:$G$100="Yes")*(91&gt;=Personnel!$E$9:$E$100)*((Personnel!$K$9:$K$100="")+(91&lt;=Personnel!$K$9:$K$100)&gt;0)*Personnel!$D$9:$D$100*(1-Personnel!$I$9:$I$100))))*Escalation!$B$92,Actuals!CR83)</f>
        <v>-61704.31588884</v>
      </c>
      <c r="CR263" s="21" t="n">
        <f aca="false">IF(ISBLANK(Actuals!CS83),(-(SUMPRODUCT((Personnel!$O$9:$O$100="SP-Payroll")*(Personnel!$G$9:$G$100="Yes")*(92&gt;=Personnel!$E$9:$E$100)*((Personnel!$K$9:$K$100="")+(92&lt;=Personnel!$K$9:$K$100)&gt;0)*Personnel!$D$9:$D$100*(1-Personnel!$I$9:$I$100))))*Escalation!$B$93,Actuals!CS83)</f>
        <v>-61704.31588884</v>
      </c>
      <c r="CS263" s="21" t="n">
        <f aca="false">IF(ISBLANK(Actuals!CT83),(-(SUMPRODUCT((Personnel!$O$9:$O$100="SP-Payroll")*(Personnel!$G$9:$G$100="Yes")*(93&gt;=Personnel!$E$9:$E$100)*((Personnel!$K$9:$K$100="")+(93&lt;=Personnel!$K$9:$K$100)&gt;0)*Personnel!$D$9:$D$100*(1-Personnel!$I$9:$I$100))))*Escalation!$B$94,Actuals!CT83)</f>
        <v>-61704.31588884</v>
      </c>
      <c r="CT263" s="21" t="n">
        <f aca="false">IF(ISBLANK(Actuals!CU83),(-(SUMPRODUCT((Personnel!$O$9:$O$100="SP-Payroll")*(Personnel!$G$9:$G$100="Yes")*(94&gt;=Personnel!$E$9:$E$100)*((Personnel!$K$9:$K$100="")+(94&lt;=Personnel!$K$9:$K$100)&gt;0)*Personnel!$D$9:$D$100*(1-Personnel!$I$9:$I$100))))*Escalation!$B$95,Actuals!CU83)</f>
        <v>-62938.4022066168</v>
      </c>
      <c r="CU263" s="21" t="n">
        <f aca="false">IF(ISBLANK(Actuals!CV83),(-(SUMPRODUCT((Personnel!$O$9:$O$100="SP-Payroll")*(Personnel!$G$9:$G$100="Yes")*(95&gt;=Personnel!$E$9:$E$100)*((Personnel!$K$9:$K$100="")+(95&lt;=Personnel!$K$9:$K$100)&gt;0)*Personnel!$D$9:$D$100*(1-Personnel!$I$9:$I$100))))*Escalation!$B$96,Actuals!CV83)</f>
        <v>-62938.4022066168</v>
      </c>
      <c r="CV263" s="21" t="n">
        <f aca="false">IF(ISBLANK(Actuals!CW83),(-(SUMPRODUCT((Personnel!$O$9:$O$100="SP-Payroll")*(Personnel!$G$9:$G$100="Yes")*(96&gt;=Personnel!$E$9:$E$100)*((Personnel!$K$9:$K$100="")+(96&lt;=Personnel!$K$9:$K$100)&gt;0)*Personnel!$D$9:$D$100*(1-Personnel!$I$9:$I$100))))*Escalation!$B$97,Actuals!CW83)</f>
        <v>-62938.4022066168</v>
      </c>
      <c r="CW263" s="21" t="n">
        <f aca="false">IF(ISBLANK(Actuals!CX83),(-(SUMPRODUCT((Personnel!$O$9:$O$100="SP-Payroll")*(Personnel!$G$9:$G$100="Yes")*(97&gt;=Personnel!$E$9:$E$100)*((Personnel!$K$9:$K$100="")+(97&lt;=Personnel!$K$9:$K$100)&gt;0)*Personnel!$D$9:$D$100*(1-Personnel!$I$9:$I$100))))*Escalation!$B$98,Actuals!CX83)</f>
        <v>-62938.4022066168</v>
      </c>
      <c r="CX263" s="21" t="n">
        <f aca="false">IF(ISBLANK(Actuals!CY83),(-(SUMPRODUCT((Personnel!$O$9:$O$100="SP-Payroll")*(Personnel!$G$9:$G$100="Yes")*(98&gt;=Personnel!$E$9:$E$100)*((Personnel!$K$9:$K$100="")+(98&lt;=Personnel!$K$9:$K$100)&gt;0)*Personnel!$D$9:$D$100*(1-Personnel!$I$9:$I$100))))*Escalation!$B$99,Actuals!CY83)</f>
        <v>-62938.4022066168</v>
      </c>
      <c r="CY263" s="21" t="n">
        <f aca="false">IF(ISBLANK(Actuals!CZ83),(-(SUMPRODUCT((Personnel!$O$9:$O$100="SP-Payroll")*(Personnel!$G$9:$G$100="Yes")*(99&gt;=Personnel!$E$9:$E$100)*((Personnel!$K$9:$K$100="")+(99&lt;=Personnel!$K$9:$K$100)&gt;0)*Personnel!$D$9:$D$100*(1-Personnel!$I$9:$I$100))))*Escalation!$B$100,Actuals!CZ83)</f>
        <v>-62938.4022066168</v>
      </c>
      <c r="CZ263" s="21" t="n">
        <f aca="false">IF(ISBLANK(Actuals!DA83),(-(SUMPRODUCT((Personnel!$O$9:$O$100="SP-Payroll")*(Personnel!$G$9:$G$100="Yes")*(100&gt;=Personnel!$E$9:$E$100)*((Personnel!$K$9:$K$100="")+(100&lt;=Personnel!$K$9:$K$100)&gt;0)*Personnel!$D$9:$D$100*(1-Personnel!$I$9:$I$100))))*Escalation!$B$101,Actuals!DA83)</f>
        <v>-62938.4022066168</v>
      </c>
      <c r="DA263" s="21" t="n">
        <f aca="false">IF(ISBLANK(Actuals!DB83),(-(SUMPRODUCT((Personnel!$O$9:$O$100="SP-Payroll")*(Personnel!$G$9:$G$100="Yes")*(101&gt;=Personnel!$E$9:$E$100)*((Personnel!$K$9:$K$100="")+(101&lt;=Personnel!$K$9:$K$100)&gt;0)*Personnel!$D$9:$D$100*(1-Personnel!$I$9:$I$100))))*Escalation!$B$102,Actuals!DB83)</f>
        <v>-62938.4022066168</v>
      </c>
      <c r="DB263" s="21" t="n">
        <f aca="false">IF(ISBLANK(Actuals!DC83),(-(SUMPRODUCT((Personnel!$O$9:$O$100="SP-Payroll")*(Personnel!$G$9:$G$100="Yes")*(102&gt;=Personnel!$E$9:$E$100)*((Personnel!$K$9:$K$100="")+(102&lt;=Personnel!$K$9:$K$100)&gt;0)*Personnel!$D$9:$D$100*(1-Personnel!$I$9:$I$100))))*Escalation!$B$103,Actuals!DC83)</f>
        <v>-62938.4022066168</v>
      </c>
      <c r="DC263" s="21" t="n">
        <f aca="false">IF(ISBLANK(Actuals!DD83),(-(SUMPRODUCT((Personnel!$O$9:$O$100="SP-Payroll")*(Personnel!$G$9:$G$100="Yes")*(103&gt;=Personnel!$E$9:$E$100)*((Personnel!$K$9:$K$100="")+(103&lt;=Personnel!$K$9:$K$100)&gt;0)*Personnel!$D$9:$D$100*(1-Personnel!$I$9:$I$100))))*Escalation!$B$104,Actuals!DD83)</f>
        <v>-62938.4022066168</v>
      </c>
      <c r="DD263" s="21" t="n">
        <f aca="false">IF(ISBLANK(Actuals!DE83),(-(SUMPRODUCT((Personnel!$O$9:$O$100="SP-Payroll")*(Personnel!$G$9:$G$100="Yes")*(104&gt;=Personnel!$E$9:$E$100)*((Personnel!$K$9:$K$100="")+(104&lt;=Personnel!$K$9:$K$100)&gt;0)*Personnel!$D$9:$D$100*(1-Personnel!$I$9:$I$100))))*Escalation!$B$105,Actuals!DE83)</f>
        <v>-62938.4022066168</v>
      </c>
      <c r="DE263" s="21" t="n">
        <f aca="false">IF(ISBLANK(Actuals!DF83),(-(SUMPRODUCT((Personnel!$O$9:$O$100="SP-Payroll")*(Personnel!$G$9:$G$100="Yes")*(105&gt;=Personnel!$E$9:$E$100)*((Personnel!$K$9:$K$100="")+(105&lt;=Personnel!$K$9:$K$100)&gt;0)*Personnel!$D$9:$D$100*(1-Personnel!$I$9:$I$100))))*Escalation!$B$106,Actuals!DF83)</f>
        <v>-62938.4022066168</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-3835.41666666667</v>
      </c>
      <c r="O264" s="21" t="n">
        <f aca="false">IF(ISBLANK(Actuals!P84),-Helpers!M5*Assumptions!$B$20,Actuals!P84)</f>
        <v>-3835.41666666667</v>
      </c>
      <c r="P264" s="21" t="n">
        <f aca="false">IF(ISBLANK(Actuals!Q84),-Helpers!N5*Assumptions!$B$20,Actuals!Q84)</f>
        <v>-3835.41666666667</v>
      </c>
      <c r="Q264" s="21" t="n">
        <f aca="false">IF(ISBLANK(Actuals!R84),-Helpers!O5*Assumptions!$B$20,Actuals!R84)</f>
        <v>-3835.41666666667</v>
      </c>
      <c r="R264" s="21" t="n">
        <f aca="false">IF(ISBLANK(Actuals!S84),-Helpers!P5*Assumptions!$B$20,Actuals!S84)</f>
        <v>-3835.41666666667</v>
      </c>
      <c r="S264" s="21" t="n">
        <f aca="false">IF(ISBLANK(Actuals!T84),-Helpers!Q5*Assumptions!$B$20,Actuals!T84)</f>
        <v>-3835.41666666667</v>
      </c>
      <c r="T264" s="21" t="n">
        <f aca="false">IF(ISBLANK(Actuals!U84),-Helpers!R5*Assumptions!$B$20,Actuals!U84)</f>
        <v>-3835.41666666667</v>
      </c>
      <c r="U264" s="21" t="n">
        <f aca="false">IF(ISBLANK(Actuals!V84),-Helpers!S5*Assumptions!$B$20,Actuals!V84)</f>
        <v>-3835.41666666667</v>
      </c>
      <c r="V264" s="21" t="n">
        <f aca="false">IF(ISBLANK(Actuals!W84),-Helpers!T5*Assumptions!$B$20,Actuals!W84)</f>
        <v>-3835.41666666667</v>
      </c>
      <c r="W264" s="21" t="n">
        <f aca="false">IF(ISBLANK(Actuals!X84),-Helpers!U5*Assumptions!$B$20,Actuals!X84)</f>
        <v>-3835.41666666667</v>
      </c>
      <c r="X264" s="21" t="n">
        <f aca="false">IF(ISBLANK(Actuals!Y84),-Helpers!V5*Assumptions!$B$20,Actuals!Y84)</f>
        <v>-3835.41666666667</v>
      </c>
      <c r="Y264" s="21" t="n">
        <f aca="false">IF(ISBLANK(Actuals!Z84),-Helpers!W5*Assumptions!$B$20,Actuals!Z84)</f>
        <v>-3835.41666666667</v>
      </c>
      <c r="Z264" s="21" t="n">
        <f aca="false">IF(ISBLANK(Actuals!AA84),-Helpers!X5*Assumptions!$B$20,Actuals!AA84)</f>
        <v>-3912.125</v>
      </c>
      <c r="AA264" s="21" t="n">
        <f aca="false">IF(ISBLANK(Actuals!AB84),-Helpers!Y5*Assumptions!$B$20,Actuals!AB84)</f>
        <v>-3912.125</v>
      </c>
      <c r="AB264" s="21" t="n">
        <f aca="false">IF(ISBLANK(Actuals!AC84),-Helpers!Z5*Assumptions!$B$20,Actuals!AC84)</f>
        <v>-3912.125</v>
      </c>
      <c r="AC264" s="21" t="n">
        <f aca="false">IF(ISBLANK(Actuals!AD84),-Helpers!AA5*Assumptions!$B$20,Actuals!AD84)</f>
        <v>-3912.125</v>
      </c>
      <c r="AD264" s="21" t="n">
        <f aca="false">IF(ISBLANK(Actuals!AE84),-Helpers!AB5*Assumptions!$B$20,Actuals!AE84)</f>
        <v>-3912.125</v>
      </c>
      <c r="AE264" s="21" t="n">
        <f aca="false">IF(ISBLANK(Actuals!AF84),-Helpers!AC5*Assumptions!$B$20,Actuals!AF84)</f>
        <v>-3912.125</v>
      </c>
      <c r="AF264" s="21" t="n">
        <f aca="false">IF(ISBLANK(Actuals!AG84),-Helpers!AD5*Assumptions!$B$20,Actuals!AG84)</f>
        <v>-3912.125</v>
      </c>
      <c r="AG264" s="21" t="n">
        <f aca="false">IF(ISBLANK(Actuals!AH84),-Helpers!AE5*Assumptions!$B$20,Actuals!AH84)</f>
        <v>-3912.125</v>
      </c>
      <c r="AH264" s="21" t="n">
        <f aca="false">IF(ISBLANK(Actuals!AI84),-Helpers!AF5*Assumptions!$B$20,Actuals!AI84)</f>
        <v>-3912.125</v>
      </c>
      <c r="AI264" s="21" t="n">
        <f aca="false">IF(ISBLANK(Actuals!AJ84),-Helpers!AG5*Assumptions!$B$20,Actuals!AJ84)</f>
        <v>-3912.125</v>
      </c>
      <c r="AJ264" s="21" t="n">
        <f aca="false">IF(ISBLANK(Actuals!AK84),-Helpers!AH5*Assumptions!$B$20,Actuals!AK84)</f>
        <v>-3912.125</v>
      </c>
      <c r="AK264" s="21" t="n">
        <f aca="false">IF(ISBLANK(Actuals!AL84),-Helpers!AI5*Assumptions!$B$20,Actuals!AL84)</f>
        <v>-3912.125</v>
      </c>
      <c r="AL264" s="21" t="n">
        <f aca="false">IF(ISBLANK(Actuals!AM84),-Helpers!AJ5*Assumptions!$B$20,Actuals!AM84)</f>
        <v>-3990.3675</v>
      </c>
      <c r="AM264" s="21" t="n">
        <f aca="false">IF(ISBLANK(Actuals!AN84),-Helpers!AK5*Assumptions!$B$20,Actuals!AN84)</f>
        <v>-3990.3675</v>
      </c>
      <c r="AN264" s="21" t="n">
        <f aca="false">IF(ISBLANK(Actuals!AO84),-Helpers!AL5*Assumptions!$B$20,Actuals!AO84)</f>
        <v>-3990.3675</v>
      </c>
      <c r="AO264" s="21" t="n">
        <f aca="false">IF(ISBLANK(Actuals!AP84),-Helpers!AM5*Assumptions!$B$20,Actuals!AP84)</f>
        <v>-3990.3675</v>
      </c>
      <c r="AP264" s="21" t="n">
        <f aca="false">IF(ISBLANK(Actuals!AQ84),-Helpers!AN5*Assumptions!$B$20,Actuals!AQ84)</f>
        <v>-3990.3675</v>
      </c>
      <c r="AQ264" s="21" t="n">
        <f aca="false">IF(ISBLANK(Actuals!AR84),-Helpers!AO5*Assumptions!$B$20,Actuals!AR84)</f>
        <v>-3990.3675</v>
      </c>
      <c r="AR264" s="21" t="n">
        <f aca="false">IF(ISBLANK(Actuals!AS84),-Helpers!AP5*Assumptions!$B$20,Actuals!AS84)</f>
        <v>-3990.3675</v>
      </c>
      <c r="AS264" s="21" t="n">
        <f aca="false">IF(ISBLANK(Actuals!AT84),-Helpers!AQ5*Assumptions!$B$20,Actuals!AT84)</f>
        <v>-3990.3675</v>
      </c>
      <c r="AT264" s="21" t="n">
        <f aca="false">IF(ISBLANK(Actuals!AU84),-Helpers!AR5*Assumptions!$B$20,Actuals!AU84)</f>
        <v>-3990.3675</v>
      </c>
      <c r="AU264" s="21" t="n">
        <f aca="false">IF(ISBLANK(Actuals!AV84),-Helpers!AS5*Assumptions!$B$20,Actuals!AV84)</f>
        <v>-3990.3675</v>
      </c>
      <c r="AV264" s="21" t="n">
        <f aca="false">IF(ISBLANK(Actuals!AW84),-Helpers!AT5*Assumptions!$B$20,Actuals!AW84)</f>
        <v>-3990.3675</v>
      </c>
      <c r="AW264" s="21" t="n">
        <f aca="false">IF(ISBLANK(Actuals!AX84),-Helpers!AU5*Assumptions!$B$20,Actuals!AX84)</f>
        <v>-3990.3675</v>
      </c>
      <c r="AX264" s="21" t="n">
        <f aca="false">IF(ISBLANK(Actuals!AY84),-Helpers!AV5*Assumptions!$B$20,Actuals!AY84)</f>
        <v>-4070.17485</v>
      </c>
      <c r="AY264" s="21" t="n">
        <f aca="false">IF(ISBLANK(Actuals!AZ84),-Helpers!AW5*Assumptions!$B$20,Actuals!AZ84)</f>
        <v>-4070.17485</v>
      </c>
      <c r="AZ264" s="21" t="n">
        <f aca="false">IF(ISBLANK(Actuals!BA84),-Helpers!AX5*Assumptions!$B$20,Actuals!BA84)</f>
        <v>-4070.17485</v>
      </c>
      <c r="BA264" s="21" t="n">
        <f aca="false">IF(ISBLANK(Actuals!BB84),-Helpers!AY5*Assumptions!$B$20,Actuals!BB84)</f>
        <v>-4070.17485</v>
      </c>
      <c r="BB264" s="21" t="n">
        <f aca="false">IF(ISBLANK(Actuals!BC84),-Helpers!AZ5*Assumptions!$B$20,Actuals!BC84)</f>
        <v>-4070.17485</v>
      </c>
      <c r="BC264" s="21" t="n">
        <f aca="false">IF(ISBLANK(Actuals!BD84),-Helpers!BA5*Assumptions!$B$20,Actuals!BD84)</f>
        <v>-4070.17485</v>
      </c>
      <c r="BD264" s="21" t="n">
        <f aca="false">IF(ISBLANK(Actuals!BE84),-Helpers!BB5*Assumptions!$B$20,Actuals!BE84)</f>
        <v>-4070.17485</v>
      </c>
      <c r="BE264" s="21" t="n">
        <f aca="false">IF(ISBLANK(Actuals!BF84),-Helpers!BC5*Assumptions!$B$20,Actuals!BF84)</f>
        <v>-4070.17485</v>
      </c>
      <c r="BF264" s="21" t="n">
        <f aca="false">IF(ISBLANK(Actuals!BG84),-Helpers!BD5*Assumptions!$B$20,Actuals!BG84)</f>
        <v>-4070.17485</v>
      </c>
      <c r="BG264" s="21" t="n">
        <f aca="false">IF(ISBLANK(Actuals!BH84),-Helpers!BE5*Assumptions!$B$20,Actuals!BH84)</f>
        <v>-4070.17485</v>
      </c>
      <c r="BH264" s="21" t="n">
        <f aca="false">IF(ISBLANK(Actuals!BI84),-Helpers!BF5*Assumptions!$B$20,Actuals!BI84)</f>
        <v>-4070.17485</v>
      </c>
      <c r="BI264" s="21" t="n">
        <f aca="false">IF(ISBLANK(Actuals!BJ84),-Helpers!BG5*Assumptions!$B$20,Actuals!BJ84)</f>
        <v>-4070.17485</v>
      </c>
      <c r="BJ264" s="21" t="n">
        <f aca="false">IF(ISBLANK(Actuals!BK84),-Helpers!BH5*Assumptions!$B$20,Actuals!BK84)</f>
        <v>-4151.578347</v>
      </c>
      <c r="BK264" s="21" t="n">
        <f aca="false">IF(ISBLANK(Actuals!BL84),-Helpers!BI5*Assumptions!$B$20,Actuals!BL84)</f>
        <v>-4151.578347</v>
      </c>
      <c r="BL264" s="21" t="n">
        <f aca="false">IF(ISBLANK(Actuals!BM84),-Helpers!BJ5*Assumptions!$B$20,Actuals!BM84)</f>
        <v>-4151.578347</v>
      </c>
      <c r="BM264" s="21" t="n">
        <f aca="false">IF(ISBLANK(Actuals!BN84),-Helpers!BK5*Assumptions!$B$20,Actuals!BN84)</f>
        <v>-4151.578347</v>
      </c>
      <c r="BN264" s="21" t="n">
        <f aca="false">IF(ISBLANK(Actuals!BO84),-Helpers!BL5*Assumptions!$B$20,Actuals!BO84)</f>
        <v>-4151.578347</v>
      </c>
      <c r="BO264" s="21" t="n">
        <f aca="false">IF(ISBLANK(Actuals!BP84),-Helpers!BM5*Assumptions!$B$20,Actuals!BP84)</f>
        <v>-4151.578347</v>
      </c>
      <c r="BP264" s="21" t="n">
        <f aca="false">IF(ISBLANK(Actuals!BQ84),-Helpers!BN5*Assumptions!$B$20,Actuals!BQ84)</f>
        <v>-4151.578347</v>
      </c>
      <c r="BQ264" s="21" t="n">
        <f aca="false">IF(ISBLANK(Actuals!BR84),-Helpers!BO5*Assumptions!$B$20,Actuals!BR84)</f>
        <v>-4151.578347</v>
      </c>
      <c r="BR264" s="21" t="n">
        <f aca="false">IF(ISBLANK(Actuals!BS84),-Helpers!BP5*Assumptions!$B$20,Actuals!BS84)</f>
        <v>-4151.578347</v>
      </c>
      <c r="BS264" s="21" t="n">
        <f aca="false">IF(ISBLANK(Actuals!BT84),-Helpers!BQ5*Assumptions!$B$20,Actuals!BT84)</f>
        <v>-4151.578347</v>
      </c>
      <c r="BT264" s="21" t="n">
        <f aca="false">IF(ISBLANK(Actuals!BU84),-Helpers!BR5*Assumptions!$B$20,Actuals!BU84)</f>
        <v>-4151.578347</v>
      </c>
      <c r="BU264" s="21" t="n">
        <f aca="false">IF(ISBLANK(Actuals!BV84),-Helpers!BS5*Assumptions!$B$20,Actuals!BV84)</f>
        <v>-4151.578347</v>
      </c>
      <c r="BV264" s="21" t="n">
        <f aca="false">IF(ISBLANK(Actuals!BW84),-Helpers!BT5*Assumptions!$B$20,Actuals!BW84)</f>
        <v>-4234.60991394</v>
      </c>
      <c r="BW264" s="21" t="n">
        <f aca="false">IF(ISBLANK(Actuals!BX84),-Helpers!BU5*Assumptions!$B$20,Actuals!BX84)</f>
        <v>-4234.60991394</v>
      </c>
      <c r="BX264" s="21" t="n">
        <f aca="false">IF(ISBLANK(Actuals!BY84),-Helpers!BV5*Assumptions!$B$20,Actuals!BY84)</f>
        <v>-4234.60991394</v>
      </c>
      <c r="BY264" s="21" t="n">
        <f aca="false">IF(ISBLANK(Actuals!BZ84),-Helpers!BW5*Assumptions!$B$20,Actuals!BZ84)</f>
        <v>-4234.60991394</v>
      </c>
      <c r="BZ264" s="21" t="n">
        <f aca="false">IF(ISBLANK(Actuals!CA84),-Helpers!BX5*Assumptions!$B$20,Actuals!CA84)</f>
        <v>-4234.60991394</v>
      </c>
      <c r="CA264" s="21" t="n">
        <f aca="false">IF(ISBLANK(Actuals!CB84),-Helpers!BY5*Assumptions!$B$20,Actuals!CB84)</f>
        <v>-4234.60991394</v>
      </c>
      <c r="CB264" s="21" t="n">
        <f aca="false">IF(ISBLANK(Actuals!CC84),-Helpers!BZ5*Assumptions!$B$20,Actuals!CC84)</f>
        <v>-4234.60991394</v>
      </c>
      <c r="CC264" s="21" t="n">
        <f aca="false">IF(ISBLANK(Actuals!CD84),-Helpers!CA5*Assumptions!$B$20,Actuals!CD84)</f>
        <v>-4234.60991394</v>
      </c>
      <c r="CD264" s="21" t="n">
        <f aca="false">IF(ISBLANK(Actuals!CE84),-Helpers!CB5*Assumptions!$B$20,Actuals!CE84)</f>
        <v>-4234.60991394</v>
      </c>
      <c r="CE264" s="21" t="n">
        <f aca="false">IF(ISBLANK(Actuals!CF84),-Helpers!CC5*Assumptions!$B$20,Actuals!CF84)</f>
        <v>-4234.60991394</v>
      </c>
      <c r="CF264" s="21" t="n">
        <f aca="false">IF(ISBLANK(Actuals!CG84),-Helpers!CD5*Assumptions!$B$20,Actuals!CG84)</f>
        <v>-4234.60991394</v>
      </c>
      <c r="CG264" s="21" t="n">
        <f aca="false">IF(ISBLANK(Actuals!CH84),-Helpers!CE5*Assumptions!$B$20,Actuals!CH84)</f>
        <v>-4234.60991394</v>
      </c>
      <c r="CH264" s="21" t="n">
        <f aca="false">IF(ISBLANK(Actuals!CI84),-Helpers!CF5*Assumptions!$B$20,Actuals!CI84)</f>
        <v>-4319.3021122188</v>
      </c>
      <c r="CI264" s="21" t="n">
        <f aca="false">IF(ISBLANK(Actuals!CJ84),-Helpers!CG5*Assumptions!$B$20,Actuals!CJ84)</f>
        <v>-4319.3021122188</v>
      </c>
      <c r="CJ264" s="21" t="n">
        <f aca="false">IF(ISBLANK(Actuals!CK84),-Helpers!CH5*Assumptions!$B$20,Actuals!CK84)</f>
        <v>-4319.3021122188</v>
      </c>
      <c r="CK264" s="21" t="n">
        <f aca="false">IF(ISBLANK(Actuals!CL84),-Helpers!CI5*Assumptions!$B$20,Actuals!CL84)</f>
        <v>-4319.3021122188</v>
      </c>
      <c r="CL264" s="21" t="n">
        <f aca="false">IF(ISBLANK(Actuals!CM84),-Helpers!CJ5*Assumptions!$B$20,Actuals!CM84)</f>
        <v>-4319.3021122188</v>
      </c>
      <c r="CM264" s="21" t="n">
        <f aca="false">IF(ISBLANK(Actuals!CN84),-Helpers!CK5*Assumptions!$B$20,Actuals!CN84)</f>
        <v>-4319.3021122188</v>
      </c>
      <c r="CN264" s="21" t="n">
        <f aca="false">IF(ISBLANK(Actuals!CO84),-Helpers!CL5*Assumptions!$B$20,Actuals!CO84)</f>
        <v>-4319.3021122188</v>
      </c>
      <c r="CO264" s="21" t="n">
        <f aca="false">IF(ISBLANK(Actuals!CP84),-Helpers!CM5*Assumptions!$B$20,Actuals!CP84)</f>
        <v>-4319.3021122188</v>
      </c>
      <c r="CP264" s="21" t="n">
        <f aca="false">IF(ISBLANK(Actuals!CQ84),-Helpers!CN5*Assumptions!$B$20,Actuals!CQ84)</f>
        <v>-4319.3021122188</v>
      </c>
      <c r="CQ264" s="21" t="n">
        <f aca="false">IF(ISBLANK(Actuals!CR84),-Helpers!CO5*Assumptions!$B$20,Actuals!CR84)</f>
        <v>-4319.3021122188</v>
      </c>
      <c r="CR264" s="21" t="n">
        <f aca="false">IF(ISBLANK(Actuals!CS84),-Helpers!CP5*Assumptions!$B$20,Actuals!CS84)</f>
        <v>-4319.3021122188</v>
      </c>
      <c r="CS264" s="21" t="n">
        <f aca="false">IF(ISBLANK(Actuals!CT84),-Helpers!CQ5*Assumptions!$B$20,Actuals!CT84)</f>
        <v>-4319.3021122188</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-1095.83333333333</v>
      </c>
      <c r="O266" s="21" t="n">
        <f aca="false">IF(ISBLANK(Actuals!P86),-Helpers!M5*Assumptions!$B$23,Actuals!P86)</f>
        <v>-1095.83333333333</v>
      </c>
      <c r="P266" s="21" t="n">
        <f aca="false">IF(ISBLANK(Actuals!Q86),-Helpers!N5*Assumptions!$B$23,Actuals!Q86)</f>
        <v>-1095.83333333333</v>
      </c>
      <c r="Q266" s="21" t="n">
        <f aca="false">IF(ISBLANK(Actuals!R86),-Helpers!O5*Assumptions!$B$23,Actuals!R86)</f>
        <v>-1095.83333333333</v>
      </c>
      <c r="R266" s="21" t="n">
        <f aca="false">IF(ISBLANK(Actuals!S86),-Helpers!P5*Assumptions!$B$23,Actuals!S86)</f>
        <v>-1095.83333333333</v>
      </c>
      <c r="S266" s="21" t="n">
        <f aca="false">IF(ISBLANK(Actuals!T86),-Helpers!Q5*Assumptions!$B$23,Actuals!T86)</f>
        <v>-1095.83333333333</v>
      </c>
      <c r="T266" s="21" t="n">
        <f aca="false">IF(ISBLANK(Actuals!U86),-Helpers!R5*Assumptions!$B$23,Actuals!U86)</f>
        <v>-1095.83333333333</v>
      </c>
      <c r="U266" s="21" t="n">
        <f aca="false">IF(ISBLANK(Actuals!V86),-Helpers!S5*Assumptions!$B$23,Actuals!V86)</f>
        <v>-1095.83333333333</v>
      </c>
      <c r="V266" s="21" t="n">
        <f aca="false">IF(ISBLANK(Actuals!W86),-Helpers!T5*Assumptions!$B$23,Actuals!W86)</f>
        <v>-1095.83333333333</v>
      </c>
      <c r="W266" s="21" t="n">
        <f aca="false">IF(ISBLANK(Actuals!X86),-Helpers!U5*Assumptions!$B$23,Actuals!X86)</f>
        <v>-1095.83333333333</v>
      </c>
      <c r="X266" s="21" t="n">
        <f aca="false">IF(ISBLANK(Actuals!Y86),-Helpers!V5*Assumptions!$B$23,Actuals!Y86)</f>
        <v>-1095.83333333333</v>
      </c>
      <c r="Y266" s="21" t="n">
        <f aca="false">IF(ISBLANK(Actuals!Z86),-Helpers!W5*Assumptions!$B$23,Actuals!Z86)</f>
        <v>-1095.83333333333</v>
      </c>
      <c r="Z266" s="21" t="n">
        <f aca="false">IF(ISBLANK(Actuals!AA86),-Helpers!X5*Assumptions!$B$23,Actuals!AA86)</f>
        <v>-1117.75</v>
      </c>
      <c r="AA266" s="21" t="n">
        <f aca="false">IF(ISBLANK(Actuals!AB86),-Helpers!Y5*Assumptions!$B$23,Actuals!AB86)</f>
        <v>-1117.75</v>
      </c>
      <c r="AB266" s="21" t="n">
        <f aca="false">IF(ISBLANK(Actuals!AC86),-Helpers!Z5*Assumptions!$B$23,Actuals!AC86)</f>
        <v>-1117.75</v>
      </c>
      <c r="AC266" s="21" t="n">
        <f aca="false">IF(ISBLANK(Actuals!AD86),-Helpers!AA5*Assumptions!$B$23,Actuals!AD86)</f>
        <v>-1117.75</v>
      </c>
      <c r="AD266" s="21" t="n">
        <f aca="false">IF(ISBLANK(Actuals!AE86),-Helpers!AB5*Assumptions!$B$23,Actuals!AE86)</f>
        <v>-1117.75</v>
      </c>
      <c r="AE266" s="21" t="n">
        <f aca="false">IF(ISBLANK(Actuals!AF86),-Helpers!AC5*Assumptions!$B$23,Actuals!AF86)</f>
        <v>-1117.75</v>
      </c>
      <c r="AF266" s="21" t="n">
        <f aca="false">IF(ISBLANK(Actuals!AG86),-Helpers!AD5*Assumptions!$B$23,Actuals!AG86)</f>
        <v>-1117.75</v>
      </c>
      <c r="AG266" s="21" t="n">
        <f aca="false">IF(ISBLANK(Actuals!AH86),-Helpers!AE5*Assumptions!$B$23,Actuals!AH86)</f>
        <v>-1117.75</v>
      </c>
      <c r="AH266" s="21" t="n">
        <f aca="false">IF(ISBLANK(Actuals!AI86),-Helpers!AF5*Assumptions!$B$23,Actuals!AI86)</f>
        <v>-1117.75</v>
      </c>
      <c r="AI266" s="21" t="n">
        <f aca="false">IF(ISBLANK(Actuals!AJ86),-Helpers!AG5*Assumptions!$B$23,Actuals!AJ86)</f>
        <v>-1117.75</v>
      </c>
      <c r="AJ266" s="21" t="n">
        <f aca="false">IF(ISBLANK(Actuals!AK86),-Helpers!AH5*Assumptions!$B$23,Actuals!AK86)</f>
        <v>-1117.75</v>
      </c>
      <c r="AK266" s="21" t="n">
        <f aca="false">IF(ISBLANK(Actuals!AL86),-Helpers!AI5*Assumptions!$B$23,Actuals!AL86)</f>
        <v>-1117.75</v>
      </c>
      <c r="AL266" s="21" t="n">
        <f aca="false">IF(ISBLANK(Actuals!AM86),-Helpers!AJ5*Assumptions!$B$23,Actuals!AM86)</f>
        <v>-1140.105</v>
      </c>
      <c r="AM266" s="21" t="n">
        <f aca="false">IF(ISBLANK(Actuals!AN86),-Helpers!AK5*Assumptions!$B$23,Actuals!AN86)</f>
        <v>-1140.105</v>
      </c>
      <c r="AN266" s="21" t="n">
        <f aca="false">IF(ISBLANK(Actuals!AO86),-Helpers!AL5*Assumptions!$B$23,Actuals!AO86)</f>
        <v>-1140.105</v>
      </c>
      <c r="AO266" s="21" t="n">
        <f aca="false">IF(ISBLANK(Actuals!AP86),-Helpers!AM5*Assumptions!$B$23,Actuals!AP86)</f>
        <v>-1140.105</v>
      </c>
      <c r="AP266" s="21" t="n">
        <f aca="false">IF(ISBLANK(Actuals!AQ86),-Helpers!AN5*Assumptions!$B$23,Actuals!AQ86)</f>
        <v>-1140.105</v>
      </c>
      <c r="AQ266" s="21" t="n">
        <f aca="false">IF(ISBLANK(Actuals!AR86),-Helpers!AO5*Assumptions!$B$23,Actuals!AR86)</f>
        <v>-1140.105</v>
      </c>
      <c r="AR266" s="21" t="n">
        <f aca="false">IF(ISBLANK(Actuals!AS86),-Helpers!AP5*Assumptions!$B$23,Actuals!AS86)</f>
        <v>-1140.105</v>
      </c>
      <c r="AS266" s="21" t="n">
        <f aca="false">IF(ISBLANK(Actuals!AT86),-Helpers!AQ5*Assumptions!$B$23,Actuals!AT86)</f>
        <v>-1140.105</v>
      </c>
      <c r="AT266" s="21" t="n">
        <f aca="false">IF(ISBLANK(Actuals!AU86),-Helpers!AR5*Assumptions!$B$23,Actuals!AU86)</f>
        <v>-1140.105</v>
      </c>
      <c r="AU266" s="21" t="n">
        <f aca="false">IF(ISBLANK(Actuals!AV86),-Helpers!AS5*Assumptions!$B$23,Actuals!AV86)</f>
        <v>-1140.105</v>
      </c>
      <c r="AV266" s="21" t="n">
        <f aca="false">IF(ISBLANK(Actuals!AW86),-Helpers!AT5*Assumptions!$B$23,Actuals!AW86)</f>
        <v>-1140.105</v>
      </c>
      <c r="AW266" s="21" t="n">
        <f aca="false">IF(ISBLANK(Actuals!AX86),-Helpers!AU5*Assumptions!$B$23,Actuals!AX86)</f>
        <v>-1140.105</v>
      </c>
      <c r="AX266" s="21" t="n">
        <f aca="false">IF(ISBLANK(Actuals!AY86),-Helpers!AV5*Assumptions!$B$23,Actuals!AY86)</f>
        <v>-1162.9071</v>
      </c>
      <c r="AY266" s="21" t="n">
        <f aca="false">IF(ISBLANK(Actuals!AZ86),-Helpers!AW5*Assumptions!$B$23,Actuals!AZ86)</f>
        <v>-1162.9071</v>
      </c>
      <c r="AZ266" s="21" t="n">
        <f aca="false">IF(ISBLANK(Actuals!BA86),-Helpers!AX5*Assumptions!$B$23,Actuals!BA86)</f>
        <v>-1162.9071</v>
      </c>
      <c r="BA266" s="21" t="n">
        <f aca="false">IF(ISBLANK(Actuals!BB86),-Helpers!AY5*Assumptions!$B$23,Actuals!BB86)</f>
        <v>-1162.9071</v>
      </c>
      <c r="BB266" s="21" t="n">
        <f aca="false">IF(ISBLANK(Actuals!BC86),-Helpers!AZ5*Assumptions!$B$23,Actuals!BC86)</f>
        <v>-1162.9071</v>
      </c>
      <c r="BC266" s="21" t="n">
        <f aca="false">IF(ISBLANK(Actuals!BD86),-Helpers!BA5*Assumptions!$B$23,Actuals!BD86)</f>
        <v>-1162.9071</v>
      </c>
      <c r="BD266" s="21" t="n">
        <f aca="false">IF(ISBLANK(Actuals!BE86),-Helpers!BB5*Assumptions!$B$23,Actuals!BE86)</f>
        <v>-1162.9071</v>
      </c>
      <c r="BE266" s="21" t="n">
        <f aca="false">IF(ISBLANK(Actuals!BF86),-Helpers!BC5*Assumptions!$B$23,Actuals!BF86)</f>
        <v>-1162.9071</v>
      </c>
      <c r="BF266" s="21" t="n">
        <f aca="false">IF(ISBLANK(Actuals!BG86),-Helpers!BD5*Assumptions!$B$23,Actuals!BG86)</f>
        <v>-1162.9071</v>
      </c>
      <c r="BG266" s="21" t="n">
        <f aca="false">IF(ISBLANK(Actuals!BH86),-Helpers!BE5*Assumptions!$B$23,Actuals!BH86)</f>
        <v>-1162.9071</v>
      </c>
      <c r="BH266" s="21" t="n">
        <f aca="false">IF(ISBLANK(Actuals!BI86),-Helpers!BF5*Assumptions!$B$23,Actuals!BI86)</f>
        <v>-1162.9071</v>
      </c>
      <c r="BI266" s="21" t="n">
        <f aca="false">IF(ISBLANK(Actuals!BJ86),-Helpers!BG5*Assumptions!$B$23,Actuals!BJ86)</f>
        <v>-1162.9071</v>
      </c>
      <c r="BJ266" s="21" t="n">
        <f aca="false">IF(ISBLANK(Actuals!BK86),-Helpers!BH5*Assumptions!$B$23,Actuals!BK86)</f>
        <v>-1186.165242</v>
      </c>
      <c r="BK266" s="21" t="n">
        <f aca="false">IF(ISBLANK(Actuals!BL86),-Helpers!BI5*Assumptions!$B$23,Actuals!BL86)</f>
        <v>-1186.165242</v>
      </c>
      <c r="BL266" s="21" t="n">
        <f aca="false">IF(ISBLANK(Actuals!BM86),-Helpers!BJ5*Assumptions!$B$23,Actuals!BM86)</f>
        <v>-1186.165242</v>
      </c>
      <c r="BM266" s="21" t="n">
        <f aca="false">IF(ISBLANK(Actuals!BN86),-Helpers!BK5*Assumptions!$B$23,Actuals!BN86)</f>
        <v>-1186.165242</v>
      </c>
      <c r="BN266" s="21" t="n">
        <f aca="false">IF(ISBLANK(Actuals!BO86),-Helpers!BL5*Assumptions!$B$23,Actuals!BO86)</f>
        <v>-1186.165242</v>
      </c>
      <c r="BO266" s="21" t="n">
        <f aca="false">IF(ISBLANK(Actuals!BP86),-Helpers!BM5*Assumptions!$B$23,Actuals!BP86)</f>
        <v>-1186.165242</v>
      </c>
      <c r="BP266" s="21" t="n">
        <f aca="false">IF(ISBLANK(Actuals!BQ86),-Helpers!BN5*Assumptions!$B$23,Actuals!BQ86)</f>
        <v>-1186.165242</v>
      </c>
      <c r="BQ266" s="21" t="n">
        <f aca="false">IF(ISBLANK(Actuals!BR86),-Helpers!BO5*Assumptions!$B$23,Actuals!BR86)</f>
        <v>-1186.165242</v>
      </c>
      <c r="BR266" s="21" t="n">
        <f aca="false">IF(ISBLANK(Actuals!BS86),-Helpers!BP5*Assumptions!$B$23,Actuals!BS86)</f>
        <v>-1186.165242</v>
      </c>
      <c r="BS266" s="21" t="n">
        <f aca="false">IF(ISBLANK(Actuals!BT86),-Helpers!BQ5*Assumptions!$B$23,Actuals!BT86)</f>
        <v>-1186.165242</v>
      </c>
      <c r="BT266" s="21" t="n">
        <f aca="false">IF(ISBLANK(Actuals!BU86),-Helpers!BR5*Assumptions!$B$23,Actuals!BU86)</f>
        <v>-1186.165242</v>
      </c>
      <c r="BU266" s="21" t="n">
        <f aca="false">IF(ISBLANK(Actuals!BV86),-Helpers!BS5*Assumptions!$B$23,Actuals!BV86)</f>
        <v>-1186.165242</v>
      </c>
      <c r="BV266" s="21" t="n">
        <f aca="false">IF(ISBLANK(Actuals!BW86),-Helpers!BT5*Assumptions!$B$23,Actuals!BW86)</f>
        <v>-1209.88854684</v>
      </c>
      <c r="BW266" s="21" t="n">
        <f aca="false">IF(ISBLANK(Actuals!BX86),-Helpers!BU5*Assumptions!$B$23,Actuals!BX86)</f>
        <v>-1209.88854684</v>
      </c>
      <c r="BX266" s="21" t="n">
        <f aca="false">IF(ISBLANK(Actuals!BY86),-Helpers!BV5*Assumptions!$B$23,Actuals!BY86)</f>
        <v>-1209.88854684</v>
      </c>
      <c r="BY266" s="21" t="n">
        <f aca="false">IF(ISBLANK(Actuals!BZ86),-Helpers!BW5*Assumptions!$B$23,Actuals!BZ86)</f>
        <v>-1209.88854684</v>
      </c>
      <c r="BZ266" s="21" t="n">
        <f aca="false">IF(ISBLANK(Actuals!CA86),-Helpers!BX5*Assumptions!$B$23,Actuals!CA86)</f>
        <v>-1209.88854684</v>
      </c>
      <c r="CA266" s="21" t="n">
        <f aca="false">IF(ISBLANK(Actuals!CB86),-Helpers!BY5*Assumptions!$B$23,Actuals!CB86)</f>
        <v>-1209.88854684</v>
      </c>
      <c r="CB266" s="21" t="n">
        <f aca="false">IF(ISBLANK(Actuals!CC86),-Helpers!BZ5*Assumptions!$B$23,Actuals!CC86)</f>
        <v>-1209.88854684</v>
      </c>
      <c r="CC266" s="21" t="n">
        <f aca="false">IF(ISBLANK(Actuals!CD86),-Helpers!CA5*Assumptions!$B$23,Actuals!CD86)</f>
        <v>-1209.88854684</v>
      </c>
      <c r="CD266" s="21" t="n">
        <f aca="false">IF(ISBLANK(Actuals!CE86),-Helpers!CB5*Assumptions!$B$23,Actuals!CE86)</f>
        <v>-1209.88854684</v>
      </c>
      <c r="CE266" s="21" t="n">
        <f aca="false">IF(ISBLANK(Actuals!CF86),-Helpers!CC5*Assumptions!$B$23,Actuals!CF86)</f>
        <v>-1209.88854684</v>
      </c>
      <c r="CF266" s="21" t="n">
        <f aca="false">IF(ISBLANK(Actuals!CG86),-Helpers!CD5*Assumptions!$B$23,Actuals!CG86)</f>
        <v>-1209.88854684</v>
      </c>
      <c r="CG266" s="21" t="n">
        <f aca="false">IF(ISBLANK(Actuals!CH86),-Helpers!CE5*Assumptions!$B$23,Actuals!CH86)</f>
        <v>-1209.88854684</v>
      </c>
      <c r="CH266" s="21" t="n">
        <f aca="false">IF(ISBLANK(Actuals!CI86),-Helpers!CF5*Assumptions!$B$23,Actuals!CI86)</f>
        <v>-1234.0863177768</v>
      </c>
      <c r="CI266" s="21" t="n">
        <f aca="false">IF(ISBLANK(Actuals!CJ86),-Helpers!CG5*Assumptions!$B$23,Actuals!CJ86)</f>
        <v>-1234.0863177768</v>
      </c>
      <c r="CJ266" s="21" t="n">
        <f aca="false">IF(ISBLANK(Actuals!CK86),-Helpers!CH5*Assumptions!$B$23,Actuals!CK86)</f>
        <v>-1234.0863177768</v>
      </c>
      <c r="CK266" s="21" t="n">
        <f aca="false">IF(ISBLANK(Actuals!CL86),-Helpers!CI5*Assumptions!$B$23,Actuals!CL86)</f>
        <v>-1234.0863177768</v>
      </c>
      <c r="CL266" s="21" t="n">
        <f aca="false">IF(ISBLANK(Actuals!CM86),-Helpers!CJ5*Assumptions!$B$23,Actuals!CM86)</f>
        <v>-1234.0863177768</v>
      </c>
      <c r="CM266" s="21" t="n">
        <f aca="false">IF(ISBLANK(Actuals!CN86),-Helpers!CK5*Assumptions!$B$23,Actuals!CN86)</f>
        <v>-1234.0863177768</v>
      </c>
      <c r="CN266" s="21" t="n">
        <f aca="false">IF(ISBLANK(Actuals!CO86),-Helpers!CL5*Assumptions!$B$23,Actuals!CO86)</f>
        <v>-1234.0863177768</v>
      </c>
      <c r="CO266" s="21" t="n">
        <f aca="false">IF(ISBLANK(Actuals!CP86),-Helpers!CM5*Assumptions!$B$23,Actuals!CP86)</f>
        <v>-1234.0863177768</v>
      </c>
      <c r="CP266" s="21" t="n">
        <f aca="false">IF(ISBLANK(Actuals!CQ86),-Helpers!CN5*Assumptions!$B$23,Actuals!CQ86)</f>
        <v>-1234.0863177768</v>
      </c>
      <c r="CQ266" s="21" t="n">
        <f aca="false">IF(ISBLANK(Actuals!CR86),-Helpers!CO5*Assumptions!$B$23,Actuals!CR86)</f>
        <v>-1234.0863177768</v>
      </c>
      <c r="CR266" s="21" t="n">
        <f aca="false">IF(ISBLANK(Actuals!CS86),-Helpers!CP5*Assumptions!$B$23,Actuals!CS86)</f>
        <v>-1234.0863177768</v>
      </c>
      <c r="CS266" s="21" t="n">
        <f aca="false">IF(ISBLANK(Actuals!CT86),-Helpers!CQ5*Assumptions!$B$23,Actuals!CT86)</f>
        <v>-1234.0863177768</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-273.958333333333</v>
      </c>
      <c r="O267" s="21" t="n">
        <f aca="false">IF(ISBLANK(Actuals!P87),-Helpers!M5*Assumptions!$B$21,Actuals!P87)</f>
        <v>-273.958333333333</v>
      </c>
      <c r="P267" s="21" t="n">
        <f aca="false">IF(ISBLANK(Actuals!Q87),-Helpers!N5*Assumptions!$B$21,Actuals!Q87)</f>
        <v>-273.958333333333</v>
      </c>
      <c r="Q267" s="21" t="n">
        <f aca="false">IF(ISBLANK(Actuals!R87),-Helpers!O5*Assumptions!$B$21,Actuals!R87)</f>
        <v>-273.958333333333</v>
      </c>
      <c r="R267" s="21" t="n">
        <f aca="false">IF(ISBLANK(Actuals!S87),-Helpers!P5*Assumptions!$B$21,Actuals!S87)</f>
        <v>-273.958333333333</v>
      </c>
      <c r="S267" s="21" t="n">
        <f aca="false">IF(ISBLANK(Actuals!T87),-Helpers!Q5*Assumptions!$B$21,Actuals!T87)</f>
        <v>-273.958333333333</v>
      </c>
      <c r="T267" s="21" t="n">
        <f aca="false">IF(ISBLANK(Actuals!U87),-Helpers!R5*Assumptions!$B$21,Actuals!U87)</f>
        <v>-273.958333333333</v>
      </c>
      <c r="U267" s="21" t="n">
        <f aca="false">IF(ISBLANK(Actuals!V87),-Helpers!S5*Assumptions!$B$21,Actuals!V87)</f>
        <v>-273.958333333333</v>
      </c>
      <c r="V267" s="21" t="n">
        <f aca="false">IF(ISBLANK(Actuals!W87),-Helpers!T5*Assumptions!$B$21,Actuals!W87)</f>
        <v>-273.958333333333</v>
      </c>
      <c r="W267" s="21" t="n">
        <f aca="false">IF(ISBLANK(Actuals!X87),-Helpers!U5*Assumptions!$B$21,Actuals!X87)</f>
        <v>-273.958333333333</v>
      </c>
      <c r="X267" s="21" t="n">
        <f aca="false">IF(ISBLANK(Actuals!Y87),-Helpers!V5*Assumptions!$B$21,Actuals!Y87)</f>
        <v>-273.958333333333</v>
      </c>
      <c r="Y267" s="21" t="n">
        <f aca="false">IF(ISBLANK(Actuals!Z87),-Helpers!W5*Assumptions!$B$21,Actuals!Z87)</f>
        <v>-273.958333333333</v>
      </c>
      <c r="Z267" s="21" t="n">
        <f aca="false">IF(ISBLANK(Actuals!AA87),-Helpers!X5*Assumptions!$B$21,Actuals!AA87)</f>
        <v>-279.4375</v>
      </c>
      <c r="AA267" s="21" t="n">
        <f aca="false">IF(ISBLANK(Actuals!AB87),-Helpers!Y5*Assumptions!$B$21,Actuals!AB87)</f>
        <v>-279.4375</v>
      </c>
      <c r="AB267" s="21" t="n">
        <f aca="false">IF(ISBLANK(Actuals!AC87),-Helpers!Z5*Assumptions!$B$21,Actuals!AC87)</f>
        <v>-279.4375</v>
      </c>
      <c r="AC267" s="21" t="n">
        <f aca="false">IF(ISBLANK(Actuals!AD87),-Helpers!AA5*Assumptions!$B$21,Actuals!AD87)</f>
        <v>-279.4375</v>
      </c>
      <c r="AD267" s="21" t="n">
        <f aca="false">IF(ISBLANK(Actuals!AE87),-Helpers!AB5*Assumptions!$B$21,Actuals!AE87)</f>
        <v>-279.4375</v>
      </c>
      <c r="AE267" s="21" t="n">
        <f aca="false">IF(ISBLANK(Actuals!AF87),-Helpers!AC5*Assumptions!$B$21,Actuals!AF87)</f>
        <v>-279.4375</v>
      </c>
      <c r="AF267" s="21" t="n">
        <f aca="false">IF(ISBLANK(Actuals!AG87),-Helpers!AD5*Assumptions!$B$21,Actuals!AG87)</f>
        <v>-279.4375</v>
      </c>
      <c r="AG267" s="21" t="n">
        <f aca="false">IF(ISBLANK(Actuals!AH87),-Helpers!AE5*Assumptions!$B$21,Actuals!AH87)</f>
        <v>-279.4375</v>
      </c>
      <c r="AH267" s="21" t="n">
        <f aca="false">IF(ISBLANK(Actuals!AI87),-Helpers!AF5*Assumptions!$B$21,Actuals!AI87)</f>
        <v>-279.4375</v>
      </c>
      <c r="AI267" s="21" t="n">
        <f aca="false">IF(ISBLANK(Actuals!AJ87),-Helpers!AG5*Assumptions!$B$21,Actuals!AJ87)</f>
        <v>-279.4375</v>
      </c>
      <c r="AJ267" s="21" t="n">
        <f aca="false">IF(ISBLANK(Actuals!AK87),-Helpers!AH5*Assumptions!$B$21,Actuals!AK87)</f>
        <v>-279.4375</v>
      </c>
      <c r="AK267" s="21" t="n">
        <f aca="false">IF(ISBLANK(Actuals!AL87),-Helpers!AI5*Assumptions!$B$21,Actuals!AL87)</f>
        <v>-279.4375</v>
      </c>
      <c r="AL267" s="21" t="n">
        <f aca="false">IF(ISBLANK(Actuals!AM87),-Helpers!AJ5*Assumptions!$B$21,Actuals!AM87)</f>
        <v>-285.02625</v>
      </c>
      <c r="AM267" s="21" t="n">
        <f aca="false">IF(ISBLANK(Actuals!AN87),-Helpers!AK5*Assumptions!$B$21,Actuals!AN87)</f>
        <v>-285.02625</v>
      </c>
      <c r="AN267" s="21" t="n">
        <f aca="false">IF(ISBLANK(Actuals!AO87),-Helpers!AL5*Assumptions!$B$21,Actuals!AO87)</f>
        <v>-285.02625</v>
      </c>
      <c r="AO267" s="21" t="n">
        <f aca="false">IF(ISBLANK(Actuals!AP87),-Helpers!AM5*Assumptions!$B$21,Actuals!AP87)</f>
        <v>-285.02625</v>
      </c>
      <c r="AP267" s="21" t="n">
        <f aca="false">IF(ISBLANK(Actuals!AQ87),-Helpers!AN5*Assumptions!$B$21,Actuals!AQ87)</f>
        <v>-285.02625</v>
      </c>
      <c r="AQ267" s="21" t="n">
        <f aca="false">IF(ISBLANK(Actuals!AR87),-Helpers!AO5*Assumptions!$B$21,Actuals!AR87)</f>
        <v>-285.02625</v>
      </c>
      <c r="AR267" s="21" t="n">
        <f aca="false">IF(ISBLANK(Actuals!AS87),-Helpers!AP5*Assumptions!$B$21,Actuals!AS87)</f>
        <v>-285.02625</v>
      </c>
      <c r="AS267" s="21" t="n">
        <f aca="false">IF(ISBLANK(Actuals!AT87),-Helpers!AQ5*Assumptions!$B$21,Actuals!AT87)</f>
        <v>-285.02625</v>
      </c>
      <c r="AT267" s="21" t="n">
        <f aca="false">IF(ISBLANK(Actuals!AU87),-Helpers!AR5*Assumptions!$B$21,Actuals!AU87)</f>
        <v>-285.02625</v>
      </c>
      <c r="AU267" s="21" t="n">
        <f aca="false">IF(ISBLANK(Actuals!AV87),-Helpers!AS5*Assumptions!$B$21,Actuals!AV87)</f>
        <v>-285.02625</v>
      </c>
      <c r="AV267" s="21" t="n">
        <f aca="false">IF(ISBLANK(Actuals!AW87),-Helpers!AT5*Assumptions!$B$21,Actuals!AW87)</f>
        <v>-285.02625</v>
      </c>
      <c r="AW267" s="21" t="n">
        <f aca="false">IF(ISBLANK(Actuals!AX87),-Helpers!AU5*Assumptions!$B$21,Actuals!AX87)</f>
        <v>-285.02625</v>
      </c>
      <c r="AX267" s="21" t="n">
        <f aca="false">IF(ISBLANK(Actuals!AY87),-Helpers!AV5*Assumptions!$B$21,Actuals!AY87)</f>
        <v>-290.726775</v>
      </c>
      <c r="AY267" s="21" t="n">
        <f aca="false">IF(ISBLANK(Actuals!AZ87),-Helpers!AW5*Assumptions!$B$21,Actuals!AZ87)</f>
        <v>-290.726775</v>
      </c>
      <c r="AZ267" s="21" t="n">
        <f aca="false">IF(ISBLANK(Actuals!BA87),-Helpers!AX5*Assumptions!$B$21,Actuals!BA87)</f>
        <v>-290.726775</v>
      </c>
      <c r="BA267" s="21" t="n">
        <f aca="false">IF(ISBLANK(Actuals!BB87),-Helpers!AY5*Assumptions!$B$21,Actuals!BB87)</f>
        <v>-290.726775</v>
      </c>
      <c r="BB267" s="21" t="n">
        <f aca="false">IF(ISBLANK(Actuals!BC87),-Helpers!AZ5*Assumptions!$B$21,Actuals!BC87)</f>
        <v>-290.726775</v>
      </c>
      <c r="BC267" s="21" t="n">
        <f aca="false">IF(ISBLANK(Actuals!BD87),-Helpers!BA5*Assumptions!$B$21,Actuals!BD87)</f>
        <v>-290.726775</v>
      </c>
      <c r="BD267" s="21" t="n">
        <f aca="false">IF(ISBLANK(Actuals!BE87),-Helpers!BB5*Assumptions!$B$21,Actuals!BE87)</f>
        <v>-290.726775</v>
      </c>
      <c r="BE267" s="21" t="n">
        <f aca="false">IF(ISBLANK(Actuals!BF87),-Helpers!BC5*Assumptions!$B$21,Actuals!BF87)</f>
        <v>-290.726775</v>
      </c>
      <c r="BF267" s="21" t="n">
        <f aca="false">IF(ISBLANK(Actuals!BG87),-Helpers!BD5*Assumptions!$B$21,Actuals!BG87)</f>
        <v>-290.726775</v>
      </c>
      <c r="BG267" s="21" t="n">
        <f aca="false">IF(ISBLANK(Actuals!BH87),-Helpers!BE5*Assumptions!$B$21,Actuals!BH87)</f>
        <v>-290.726775</v>
      </c>
      <c r="BH267" s="21" t="n">
        <f aca="false">IF(ISBLANK(Actuals!BI87),-Helpers!BF5*Assumptions!$B$21,Actuals!BI87)</f>
        <v>-290.726775</v>
      </c>
      <c r="BI267" s="21" t="n">
        <f aca="false">IF(ISBLANK(Actuals!BJ87),-Helpers!BG5*Assumptions!$B$21,Actuals!BJ87)</f>
        <v>-290.726775</v>
      </c>
      <c r="BJ267" s="21" t="n">
        <f aca="false">IF(ISBLANK(Actuals!BK87),-Helpers!BH5*Assumptions!$B$21,Actuals!BK87)</f>
        <v>-296.5413105</v>
      </c>
      <c r="BK267" s="21" t="n">
        <f aca="false">IF(ISBLANK(Actuals!BL87),-Helpers!BI5*Assumptions!$B$21,Actuals!BL87)</f>
        <v>-296.5413105</v>
      </c>
      <c r="BL267" s="21" t="n">
        <f aca="false">IF(ISBLANK(Actuals!BM87),-Helpers!BJ5*Assumptions!$B$21,Actuals!BM87)</f>
        <v>-296.5413105</v>
      </c>
      <c r="BM267" s="21" t="n">
        <f aca="false">IF(ISBLANK(Actuals!BN87),-Helpers!BK5*Assumptions!$B$21,Actuals!BN87)</f>
        <v>-296.5413105</v>
      </c>
      <c r="BN267" s="21" t="n">
        <f aca="false">IF(ISBLANK(Actuals!BO87),-Helpers!BL5*Assumptions!$B$21,Actuals!BO87)</f>
        <v>-296.5413105</v>
      </c>
      <c r="BO267" s="21" t="n">
        <f aca="false">IF(ISBLANK(Actuals!BP87),-Helpers!BM5*Assumptions!$B$21,Actuals!BP87)</f>
        <v>-296.5413105</v>
      </c>
      <c r="BP267" s="21" t="n">
        <f aca="false">IF(ISBLANK(Actuals!BQ87),-Helpers!BN5*Assumptions!$B$21,Actuals!BQ87)</f>
        <v>-296.5413105</v>
      </c>
      <c r="BQ267" s="21" t="n">
        <f aca="false">IF(ISBLANK(Actuals!BR87),-Helpers!BO5*Assumptions!$B$21,Actuals!BR87)</f>
        <v>-296.5413105</v>
      </c>
      <c r="BR267" s="21" t="n">
        <f aca="false">IF(ISBLANK(Actuals!BS87),-Helpers!BP5*Assumptions!$B$21,Actuals!BS87)</f>
        <v>-296.5413105</v>
      </c>
      <c r="BS267" s="21" t="n">
        <f aca="false">IF(ISBLANK(Actuals!BT87),-Helpers!BQ5*Assumptions!$B$21,Actuals!BT87)</f>
        <v>-296.5413105</v>
      </c>
      <c r="BT267" s="21" t="n">
        <f aca="false">IF(ISBLANK(Actuals!BU87),-Helpers!BR5*Assumptions!$B$21,Actuals!BU87)</f>
        <v>-296.5413105</v>
      </c>
      <c r="BU267" s="21" t="n">
        <f aca="false">IF(ISBLANK(Actuals!BV87),-Helpers!BS5*Assumptions!$B$21,Actuals!BV87)</f>
        <v>-296.5413105</v>
      </c>
      <c r="BV267" s="21" t="n">
        <f aca="false">IF(ISBLANK(Actuals!BW87),-Helpers!BT5*Assumptions!$B$21,Actuals!BW87)</f>
        <v>-302.47213671</v>
      </c>
      <c r="BW267" s="21" t="n">
        <f aca="false">IF(ISBLANK(Actuals!BX87),-Helpers!BU5*Assumptions!$B$21,Actuals!BX87)</f>
        <v>-302.47213671</v>
      </c>
      <c r="BX267" s="21" t="n">
        <f aca="false">IF(ISBLANK(Actuals!BY87),-Helpers!BV5*Assumptions!$B$21,Actuals!BY87)</f>
        <v>-302.47213671</v>
      </c>
      <c r="BY267" s="21" t="n">
        <f aca="false">IF(ISBLANK(Actuals!BZ87),-Helpers!BW5*Assumptions!$B$21,Actuals!BZ87)</f>
        <v>-302.47213671</v>
      </c>
      <c r="BZ267" s="21" t="n">
        <f aca="false">IF(ISBLANK(Actuals!CA87),-Helpers!BX5*Assumptions!$B$21,Actuals!CA87)</f>
        <v>-302.47213671</v>
      </c>
      <c r="CA267" s="21" t="n">
        <f aca="false">IF(ISBLANK(Actuals!CB87),-Helpers!BY5*Assumptions!$B$21,Actuals!CB87)</f>
        <v>-302.47213671</v>
      </c>
      <c r="CB267" s="21" t="n">
        <f aca="false">IF(ISBLANK(Actuals!CC87),-Helpers!BZ5*Assumptions!$B$21,Actuals!CC87)</f>
        <v>-302.47213671</v>
      </c>
      <c r="CC267" s="21" t="n">
        <f aca="false">IF(ISBLANK(Actuals!CD87),-Helpers!CA5*Assumptions!$B$21,Actuals!CD87)</f>
        <v>-302.47213671</v>
      </c>
      <c r="CD267" s="21" t="n">
        <f aca="false">IF(ISBLANK(Actuals!CE87),-Helpers!CB5*Assumptions!$B$21,Actuals!CE87)</f>
        <v>-302.47213671</v>
      </c>
      <c r="CE267" s="21" t="n">
        <f aca="false">IF(ISBLANK(Actuals!CF87),-Helpers!CC5*Assumptions!$B$21,Actuals!CF87)</f>
        <v>-302.47213671</v>
      </c>
      <c r="CF267" s="21" t="n">
        <f aca="false">IF(ISBLANK(Actuals!CG87),-Helpers!CD5*Assumptions!$B$21,Actuals!CG87)</f>
        <v>-302.47213671</v>
      </c>
      <c r="CG267" s="21" t="n">
        <f aca="false">IF(ISBLANK(Actuals!CH87),-Helpers!CE5*Assumptions!$B$21,Actuals!CH87)</f>
        <v>-302.47213671</v>
      </c>
      <c r="CH267" s="21" t="n">
        <f aca="false">IF(ISBLANK(Actuals!CI87),-Helpers!CF5*Assumptions!$B$21,Actuals!CI87)</f>
        <v>-308.5215794442</v>
      </c>
      <c r="CI267" s="21" t="n">
        <f aca="false">IF(ISBLANK(Actuals!CJ87),-Helpers!CG5*Assumptions!$B$21,Actuals!CJ87)</f>
        <v>-308.5215794442</v>
      </c>
      <c r="CJ267" s="21" t="n">
        <f aca="false">IF(ISBLANK(Actuals!CK87),-Helpers!CH5*Assumptions!$B$21,Actuals!CK87)</f>
        <v>-308.5215794442</v>
      </c>
      <c r="CK267" s="21" t="n">
        <f aca="false">IF(ISBLANK(Actuals!CL87),-Helpers!CI5*Assumptions!$B$21,Actuals!CL87)</f>
        <v>-308.5215794442</v>
      </c>
      <c r="CL267" s="21" t="n">
        <f aca="false">IF(ISBLANK(Actuals!CM87),-Helpers!CJ5*Assumptions!$B$21,Actuals!CM87)</f>
        <v>-308.5215794442</v>
      </c>
      <c r="CM267" s="21" t="n">
        <f aca="false">IF(ISBLANK(Actuals!CN87),-Helpers!CK5*Assumptions!$B$21,Actuals!CN87)</f>
        <v>-308.5215794442</v>
      </c>
      <c r="CN267" s="21" t="n">
        <f aca="false">IF(ISBLANK(Actuals!CO87),-Helpers!CL5*Assumptions!$B$21,Actuals!CO87)</f>
        <v>-308.5215794442</v>
      </c>
      <c r="CO267" s="21" t="n">
        <f aca="false">IF(ISBLANK(Actuals!CP87),-Helpers!CM5*Assumptions!$B$21,Actuals!CP87)</f>
        <v>-308.5215794442</v>
      </c>
      <c r="CP267" s="21" t="n">
        <f aca="false">IF(ISBLANK(Actuals!CQ87),-Helpers!CN5*Assumptions!$B$21,Actuals!CQ87)</f>
        <v>-308.5215794442</v>
      </c>
      <c r="CQ267" s="21" t="n">
        <f aca="false">IF(ISBLANK(Actuals!CR87),-Helpers!CO5*Assumptions!$B$21,Actuals!CR87)</f>
        <v>-308.5215794442</v>
      </c>
      <c r="CR267" s="21" t="n">
        <f aca="false">IF(ISBLANK(Actuals!CS87),-Helpers!CP5*Assumptions!$B$21,Actuals!CS87)</f>
        <v>-308.5215794442</v>
      </c>
      <c r="CS267" s="21" t="n">
        <f aca="false">IF(ISBLANK(Actuals!CT87),-Helpers!CQ5*Assumptions!$B$21,Actuals!CT87)</f>
        <v>-308.5215794442</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IF(ISBLANK(Actuals!N88),-8500,Actuals!N88)</f>
        <v>-8500</v>
      </c>
      <c r="N268" s="21" t="n">
        <f aca="false">IF(ISBLANK(Actuals!O88),-8500,Actuals!O88)</f>
        <v>-8500</v>
      </c>
      <c r="O268" s="21" t="n">
        <f aca="false">IF(ISBLANK(Actuals!P88),-6750,Actuals!P88)</f>
        <v>-6750</v>
      </c>
      <c r="P268" s="21" t="n">
        <f aca="false">IF(ISBLANK(Actuals!Q88),-6750,Actuals!Q88)</f>
        <v>-6750</v>
      </c>
      <c r="Q268" s="21" t="n">
        <f aca="false">IF(ISBLANK(Actuals!R88),-6750,Actuals!R88)</f>
        <v>-6750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-583.8</v>
      </c>
      <c r="R269" s="21" t="n">
        <f aca="false">IF(ISBLANK(Actuals!S89),-583.8*Escalation!$B$15,Actuals!S89)</f>
        <v>-583.8</v>
      </c>
      <c r="S269" s="21" t="n">
        <f aca="false">IF(ISBLANK(Actuals!T89),-583.8*Escalation!$B$16,Actuals!T89)</f>
        <v>-583.8</v>
      </c>
      <c r="T269" s="21" t="n">
        <f aca="false">IF(ISBLANK(Actuals!U89),-583.8*Escalation!$B$17,Actuals!U89)</f>
        <v>-583.8</v>
      </c>
      <c r="U269" s="21" t="n">
        <f aca="false">IF(ISBLANK(Actuals!V89),-583.8*Escalation!$B$18,Actuals!V89)</f>
        <v>-583.8</v>
      </c>
      <c r="V269" s="21" t="n">
        <f aca="false">IF(ISBLANK(Actuals!W89),-583.8*Escalation!$B$19,Actuals!W89)</f>
        <v>-583.8</v>
      </c>
      <c r="W269" s="21" t="n">
        <f aca="false">IF(ISBLANK(Actuals!X89),-583.8*Escalation!$B$20,Actuals!X89)</f>
        <v>-583.8</v>
      </c>
      <c r="X269" s="21" t="n">
        <f aca="false">IF(ISBLANK(Actuals!Y89),-583.8*Escalation!$B$21,Actuals!Y89)</f>
        <v>-583.8</v>
      </c>
      <c r="Y269" s="21" t="n">
        <f aca="false">IF(ISBLANK(Actuals!Z89),-583.8*Escalation!$B$22,Actuals!Z89)</f>
        <v>-583.8</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-595.476</v>
      </c>
      <c r="AD269" s="21" t="n">
        <f aca="false">IF(ISBLANK(Actuals!AE89),-583.8*Escalation!$B$27,Actuals!AE89)</f>
        <v>-595.476</v>
      </c>
      <c r="AE269" s="21" t="n">
        <f aca="false">IF(ISBLANK(Actuals!AF89),-583.8*Escalation!$B$28,Actuals!AF89)</f>
        <v>-595.476</v>
      </c>
      <c r="AF269" s="21" t="n">
        <f aca="false">IF(ISBLANK(Actuals!AG89),-583.8*Escalation!$B$29,Actuals!AG89)</f>
        <v>-595.476</v>
      </c>
      <c r="AG269" s="21" t="n">
        <f aca="false">IF(ISBLANK(Actuals!AH89),-583.8*Escalation!$B$30,Actuals!AH89)</f>
        <v>-595.476</v>
      </c>
      <c r="AH269" s="21" t="n">
        <f aca="false">IF(ISBLANK(Actuals!AI89),-583.8*Escalation!$B$31,Actuals!AI89)</f>
        <v>-595.476</v>
      </c>
      <c r="AI269" s="21" t="n">
        <f aca="false">IF(ISBLANK(Actuals!AJ89),-583.8*Escalation!$B$32,Actuals!AJ89)</f>
        <v>-595.476</v>
      </c>
      <c r="AJ269" s="21" t="n">
        <f aca="false">IF(ISBLANK(Actuals!AK89),-583.8*Escalation!$B$33,Actuals!AK89)</f>
        <v>-595.476</v>
      </c>
      <c r="AK269" s="21" t="n">
        <f aca="false">IF(ISBLANK(Actuals!AL89),-583.8*Escalation!$B$34,Actuals!AL89)</f>
        <v>-595.476</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-607.38552</v>
      </c>
      <c r="AP269" s="21" t="n">
        <f aca="false">IF(ISBLANK(Actuals!AQ89),-583.8*Escalation!$B$39,Actuals!AQ89)</f>
        <v>-607.38552</v>
      </c>
      <c r="AQ269" s="21" t="n">
        <f aca="false">IF(ISBLANK(Actuals!AR89),-583.8*Escalation!$B$40,Actuals!AR89)</f>
        <v>-607.38552</v>
      </c>
      <c r="AR269" s="21" t="n">
        <f aca="false">IF(ISBLANK(Actuals!AS89),-583.8*Escalation!$B$41,Actuals!AS89)</f>
        <v>-607.38552</v>
      </c>
      <c r="AS269" s="21" t="n">
        <f aca="false">IF(ISBLANK(Actuals!AT89),-583.8*Escalation!$B$42,Actuals!AT89)</f>
        <v>-607.38552</v>
      </c>
      <c r="AT269" s="21" t="n">
        <f aca="false">IF(ISBLANK(Actuals!AU89),-583.8*Escalation!$B$43,Actuals!AU89)</f>
        <v>-607.38552</v>
      </c>
      <c r="AU269" s="21" t="n">
        <f aca="false">IF(ISBLANK(Actuals!AV89),-583.8*Escalation!$B$44,Actuals!AV89)</f>
        <v>-607.38552</v>
      </c>
      <c r="AV269" s="21" t="n">
        <f aca="false">IF(ISBLANK(Actuals!AW89),-583.8*Escalation!$B$45,Actuals!AW89)</f>
        <v>-607.38552</v>
      </c>
      <c r="AW269" s="21" t="n">
        <f aca="false">IF(ISBLANK(Actuals!AX89),-583.8*Escalation!$B$46,Actuals!AX89)</f>
        <v>-607.38552</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-619.5332304</v>
      </c>
      <c r="BB269" s="21" t="n">
        <f aca="false">IF(ISBLANK(Actuals!BC89),-583.8*Escalation!$B$51,Actuals!BC89)</f>
        <v>-619.5332304</v>
      </c>
      <c r="BC269" s="21" t="n">
        <f aca="false">IF(ISBLANK(Actuals!BD89),-583.8*Escalation!$B$52,Actuals!BD89)</f>
        <v>-619.5332304</v>
      </c>
      <c r="BD269" s="21" t="n">
        <f aca="false">IF(ISBLANK(Actuals!BE89),-583.8*Escalation!$B$53,Actuals!BE89)</f>
        <v>-619.5332304</v>
      </c>
      <c r="BE269" s="21" t="n">
        <f aca="false">IF(ISBLANK(Actuals!BF89),-583.8*Escalation!$B$54,Actuals!BF89)</f>
        <v>-619.5332304</v>
      </c>
      <c r="BF269" s="21" t="n">
        <f aca="false">IF(ISBLANK(Actuals!BG89),-583.8*Escalation!$B$55,Actuals!BG89)</f>
        <v>-619.5332304</v>
      </c>
      <c r="BG269" s="21" t="n">
        <f aca="false">IF(ISBLANK(Actuals!BH89),-583.8*Escalation!$B$56,Actuals!BH89)</f>
        <v>-619.5332304</v>
      </c>
      <c r="BH269" s="21" t="n">
        <f aca="false">IF(ISBLANK(Actuals!BI89),-583.8*Escalation!$B$57,Actuals!BI89)</f>
        <v>-619.5332304</v>
      </c>
      <c r="BI269" s="21" t="n">
        <f aca="false">IF(ISBLANK(Actuals!BJ89),-583.8*Escalation!$B$58,Actuals!BJ89)</f>
        <v>-619.5332304</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-631.923895008</v>
      </c>
      <c r="BN269" s="21" t="n">
        <f aca="false">IF(ISBLANK(Actuals!BO89),-583.8*Escalation!$B$63,Actuals!BO89)</f>
        <v>-631.923895008</v>
      </c>
      <c r="BO269" s="21" t="n">
        <f aca="false">IF(ISBLANK(Actuals!BP89),-583.8*Escalation!$B$64,Actuals!BP89)</f>
        <v>-631.923895008</v>
      </c>
      <c r="BP269" s="21" t="n">
        <f aca="false">IF(ISBLANK(Actuals!BQ89),-583.8*Escalation!$B$65,Actuals!BQ89)</f>
        <v>-631.923895008</v>
      </c>
      <c r="BQ269" s="21" t="n">
        <f aca="false">IF(ISBLANK(Actuals!BR89),-583.8*Escalation!$B$66,Actuals!BR89)</f>
        <v>-631.923895008</v>
      </c>
      <c r="BR269" s="21" t="n">
        <f aca="false">IF(ISBLANK(Actuals!BS89),-583.8*Escalation!$B$67,Actuals!BS89)</f>
        <v>-631.923895008</v>
      </c>
      <c r="BS269" s="21" t="n">
        <f aca="false">IF(ISBLANK(Actuals!BT89),-583.8*Escalation!$B$68,Actuals!BT89)</f>
        <v>-631.923895008</v>
      </c>
      <c r="BT269" s="21" t="n">
        <f aca="false">IF(ISBLANK(Actuals!BU89),-583.8*Escalation!$B$69,Actuals!BU89)</f>
        <v>-631.923895008</v>
      </c>
      <c r="BU269" s="21" t="n">
        <f aca="false">IF(ISBLANK(Actuals!BV89),-583.8*Escalation!$B$70,Actuals!BV89)</f>
        <v>-631.923895008</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-644.56237290816</v>
      </c>
      <c r="BZ269" s="21" t="n">
        <f aca="false">IF(ISBLANK(Actuals!CA89),-583.8*Escalation!$B$75,Actuals!CA89)</f>
        <v>-644.56237290816</v>
      </c>
      <c r="CA269" s="21" t="n">
        <f aca="false">IF(ISBLANK(Actuals!CB89),-583.8*Escalation!$B$76,Actuals!CB89)</f>
        <v>-644.56237290816</v>
      </c>
      <c r="CB269" s="21" t="n">
        <f aca="false">IF(ISBLANK(Actuals!CC89),-583.8*Escalation!$B$77,Actuals!CC89)</f>
        <v>-644.56237290816</v>
      </c>
      <c r="CC269" s="21" t="n">
        <f aca="false">IF(ISBLANK(Actuals!CD89),-583.8*Escalation!$B$78,Actuals!CD89)</f>
        <v>-644.56237290816</v>
      </c>
      <c r="CD269" s="21" t="n">
        <f aca="false">IF(ISBLANK(Actuals!CE89),-583.8*Escalation!$B$79,Actuals!CE89)</f>
        <v>-644.56237290816</v>
      </c>
      <c r="CE269" s="21" t="n">
        <f aca="false">IF(ISBLANK(Actuals!CF89),-583.8*Escalation!$B$80,Actuals!CF89)</f>
        <v>-644.56237290816</v>
      </c>
      <c r="CF269" s="21" t="n">
        <f aca="false">IF(ISBLANK(Actuals!CG89),-583.8*Escalation!$B$81,Actuals!CG89)</f>
        <v>-644.56237290816</v>
      </c>
      <c r="CG269" s="21" t="n">
        <f aca="false">IF(ISBLANK(Actuals!CH89),-583.8*Escalation!$B$82,Actuals!CH89)</f>
        <v>-644.56237290816</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-657.453620366323</v>
      </c>
      <c r="CL269" s="21" t="n">
        <f aca="false">IF(ISBLANK(Actuals!CM89),-583.8*Escalation!$B$87,Actuals!CM89)</f>
        <v>-657.453620366323</v>
      </c>
      <c r="CM269" s="21" t="n">
        <f aca="false">IF(ISBLANK(Actuals!CN89),-583.8*Escalation!$B$88,Actuals!CN89)</f>
        <v>-657.453620366323</v>
      </c>
      <c r="CN269" s="21" t="n">
        <f aca="false">IF(ISBLANK(Actuals!CO89),-583.8*Escalation!$B$89,Actuals!CO89)</f>
        <v>-657.453620366323</v>
      </c>
      <c r="CO269" s="21" t="n">
        <f aca="false">IF(ISBLANK(Actuals!CP89),-583.8*Escalation!$B$90,Actuals!CP89)</f>
        <v>-657.453620366323</v>
      </c>
      <c r="CP269" s="21" t="n">
        <f aca="false">IF(ISBLANK(Actuals!CQ89),-583.8*Escalation!$B$91,Actuals!CQ89)</f>
        <v>-657.453620366323</v>
      </c>
      <c r="CQ269" s="21" t="n">
        <f aca="false">IF(ISBLANK(Actuals!CR89),-583.8*Escalation!$B$92,Actuals!CR89)</f>
        <v>-657.453620366323</v>
      </c>
      <c r="CR269" s="21" t="n">
        <f aca="false">IF(ISBLANK(Actuals!CS89),-583.8*Escalation!$B$93,Actuals!CS89)</f>
        <v>-657.453620366323</v>
      </c>
      <c r="CS269" s="21" t="n">
        <f aca="false">IF(ISBLANK(Actuals!CT89),-583.8*Escalation!$B$94,Actuals!CT89)</f>
        <v>-657.453620366323</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-670.60269277365</v>
      </c>
      <c r="CX269" s="21" t="n">
        <f aca="false">IF(ISBLANK(Actuals!CY89),-583.8*Escalation!$B$99,Actuals!CY89)</f>
        <v>-670.60269277365</v>
      </c>
      <c r="CY269" s="21" t="n">
        <f aca="false">IF(ISBLANK(Actuals!CZ89),-583.8*Escalation!$B$100,Actuals!CZ89)</f>
        <v>-670.60269277365</v>
      </c>
      <c r="CZ269" s="21" t="n">
        <f aca="false">IF(ISBLANK(Actuals!DA89),-583.8*Escalation!$B$101,Actuals!DA89)</f>
        <v>-670.60269277365</v>
      </c>
      <c r="DA269" s="21" t="n">
        <f aca="false">IF(ISBLANK(Actuals!DB89),-583.8*Escalation!$B$102,Actuals!DB89)</f>
        <v>-670.60269277365</v>
      </c>
      <c r="DB269" s="21" t="n">
        <f aca="false">IF(ISBLANK(Actuals!DC89),-583.8*Escalation!$B$103,Actuals!DC89)</f>
        <v>-670.60269277365</v>
      </c>
      <c r="DC269" s="21" t="n">
        <f aca="false">IF(ISBLANK(Actuals!DD89),-583.8*Escalation!$B$104,Actuals!DD89)</f>
        <v>-670.60269277365</v>
      </c>
      <c r="DD269" s="21" t="n">
        <f aca="false">IF(ISBLANK(Actuals!DE89),-583.8*Escalation!$B$105,Actuals!DE89)</f>
        <v>-670.60269277365</v>
      </c>
      <c r="DE269" s="21" t="n">
        <f aca="false">IF(ISBLANK(Actuals!DF89),-583.8*Escalation!$B$106,Actuals!DF89)</f>
        <v>-670.60269277365</v>
      </c>
    </row>
    <row r="270" customFormat="false" ht="15" hidden="false" customHeight="true" outlineLevel="0" collapsed="false">
      <c r="A270" s="35" t="s">
        <v>124</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-1497.86</v>
      </c>
      <c r="R270" s="21" t="n">
        <f aca="false">IF(ISBLANK(Actuals!S90),-1497.86*Escalation!$B$15,Actuals!S90)</f>
        <v>-1497.86</v>
      </c>
      <c r="S270" s="21" t="n">
        <f aca="false">IF(ISBLANK(Actuals!T90),-1497.86*Escalation!$B$16,Actuals!T90)</f>
        <v>-1497.86</v>
      </c>
      <c r="T270" s="21" t="n">
        <f aca="false">IF(ISBLANK(Actuals!U90),-1497.86*Escalation!$B$17,Actuals!U90)</f>
        <v>-1497.86</v>
      </c>
      <c r="U270" s="21" t="n">
        <f aca="false">IF(ISBLANK(Actuals!V90),-1497.86*Escalation!$B$18,Actuals!V90)</f>
        <v>-1497.86</v>
      </c>
      <c r="V270" s="21" t="n">
        <f aca="false">IF(ISBLANK(Actuals!W90),-1497.86*Escalation!$B$19,Actuals!W90)</f>
        <v>-1497.86</v>
      </c>
      <c r="W270" s="21" t="n">
        <f aca="false">IF(ISBLANK(Actuals!X90),-1497.86*Escalation!$B$20,Actuals!X90)</f>
        <v>-1497.86</v>
      </c>
      <c r="X270" s="21" t="n">
        <f aca="false">IF(ISBLANK(Actuals!Y90),-1497.86*Escalation!$B$21,Actuals!Y90)</f>
        <v>-1497.86</v>
      </c>
      <c r="Y270" s="21" t="n">
        <f aca="false">IF(ISBLANK(Actuals!Z90),-1497.86*Escalation!$B$22,Actuals!Z90)</f>
        <v>-1497.86</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-1527.8172</v>
      </c>
      <c r="AD270" s="21" t="n">
        <f aca="false">IF(ISBLANK(Actuals!AE90),-1497.86*Escalation!$B$27,Actuals!AE90)</f>
        <v>-1527.8172</v>
      </c>
      <c r="AE270" s="21" t="n">
        <f aca="false">IF(ISBLANK(Actuals!AF90),-1497.86*Escalation!$B$28,Actuals!AF90)</f>
        <v>-1527.8172</v>
      </c>
      <c r="AF270" s="21" t="n">
        <f aca="false">IF(ISBLANK(Actuals!AG90),-1497.86*Escalation!$B$29,Actuals!AG90)</f>
        <v>-1527.8172</v>
      </c>
      <c r="AG270" s="21" t="n">
        <f aca="false">IF(ISBLANK(Actuals!AH90),-1497.86*Escalation!$B$30,Actuals!AH90)</f>
        <v>-1527.8172</v>
      </c>
      <c r="AH270" s="21" t="n">
        <f aca="false">IF(ISBLANK(Actuals!AI90),-1497.86*Escalation!$B$31,Actuals!AI90)</f>
        <v>-1527.8172</v>
      </c>
      <c r="AI270" s="21" t="n">
        <f aca="false">IF(ISBLANK(Actuals!AJ90),-1497.86*Escalation!$B$32,Actuals!AJ90)</f>
        <v>-1527.8172</v>
      </c>
      <c r="AJ270" s="21" t="n">
        <f aca="false">IF(ISBLANK(Actuals!AK90),-1497.86*Escalation!$B$33,Actuals!AK90)</f>
        <v>-1527.8172</v>
      </c>
      <c r="AK270" s="21" t="n">
        <f aca="false">IF(ISBLANK(Actuals!AL90),-1497.86*Escalation!$B$34,Actuals!AL90)</f>
        <v>-1527.8172</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-1558.373544</v>
      </c>
      <c r="AP270" s="21" t="n">
        <f aca="false">IF(ISBLANK(Actuals!AQ90),-1497.86*Escalation!$B$39,Actuals!AQ90)</f>
        <v>-1558.373544</v>
      </c>
      <c r="AQ270" s="21" t="n">
        <f aca="false">IF(ISBLANK(Actuals!AR90),-1497.86*Escalation!$B$40,Actuals!AR90)</f>
        <v>-1558.373544</v>
      </c>
      <c r="AR270" s="21" t="n">
        <f aca="false">IF(ISBLANK(Actuals!AS90),-1497.86*Escalation!$B$41,Actuals!AS90)</f>
        <v>-1558.373544</v>
      </c>
      <c r="AS270" s="21" t="n">
        <f aca="false">IF(ISBLANK(Actuals!AT90),-1497.86*Escalation!$B$42,Actuals!AT90)</f>
        <v>-1558.373544</v>
      </c>
      <c r="AT270" s="21" t="n">
        <f aca="false">IF(ISBLANK(Actuals!AU90),-1497.86*Escalation!$B$43,Actuals!AU90)</f>
        <v>-1558.373544</v>
      </c>
      <c r="AU270" s="21" t="n">
        <f aca="false">IF(ISBLANK(Actuals!AV90),-1497.86*Escalation!$B$44,Actuals!AV90)</f>
        <v>-1558.373544</v>
      </c>
      <c r="AV270" s="21" t="n">
        <f aca="false">IF(ISBLANK(Actuals!AW90),-1497.86*Escalation!$B$45,Actuals!AW90)</f>
        <v>-1558.373544</v>
      </c>
      <c r="AW270" s="21" t="n">
        <f aca="false">IF(ISBLANK(Actuals!AX90),-1497.86*Escalation!$B$46,Actuals!AX90)</f>
        <v>-1558.373544</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-1589.54101488</v>
      </c>
      <c r="BB270" s="21" t="n">
        <f aca="false">IF(ISBLANK(Actuals!BC90),-1497.86*Escalation!$B$51,Actuals!BC90)</f>
        <v>-1589.54101488</v>
      </c>
      <c r="BC270" s="21" t="n">
        <f aca="false">IF(ISBLANK(Actuals!BD90),-1497.86*Escalation!$B$52,Actuals!BD90)</f>
        <v>-1589.54101488</v>
      </c>
      <c r="BD270" s="21" t="n">
        <f aca="false">IF(ISBLANK(Actuals!BE90),-1497.86*Escalation!$B$53,Actuals!BE90)</f>
        <v>-1589.54101488</v>
      </c>
      <c r="BE270" s="21" t="n">
        <f aca="false">IF(ISBLANK(Actuals!BF90),-1497.86*Escalation!$B$54,Actuals!BF90)</f>
        <v>-1589.54101488</v>
      </c>
      <c r="BF270" s="21" t="n">
        <f aca="false">IF(ISBLANK(Actuals!BG90),-1497.86*Escalation!$B$55,Actuals!BG90)</f>
        <v>-1589.54101488</v>
      </c>
      <c r="BG270" s="21" t="n">
        <f aca="false">IF(ISBLANK(Actuals!BH90),-1497.86*Escalation!$B$56,Actuals!BH90)</f>
        <v>-1589.54101488</v>
      </c>
      <c r="BH270" s="21" t="n">
        <f aca="false">IF(ISBLANK(Actuals!BI90),-1497.86*Escalation!$B$57,Actuals!BI90)</f>
        <v>-1589.54101488</v>
      </c>
      <c r="BI270" s="21" t="n">
        <f aca="false">IF(ISBLANK(Actuals!BJ90),-1497.86*Escalation!$B$58,Actuals!BJ90)</f>
        <v>-1589.54101488</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-1621.3318351776</v>
      </c>
      <c r="BN270" s="21" t="n">
        <f aca="false">IF(ISBLANK(Actuals!BO90),-1497.86*Escalation!$B$63,Actuals!BO90)</f>
        <v>-1621.3318351776</v>
      </c>
      <c r="BO270" s="21" t="n">
        <f aca="false">IF(ISBLANK(Actuals!BP90),-1497.86*Escalation!$B$64,Actuals!BP90)</f>
        <v>-1621.3318351776</v>
      </c>
      <c r="BP270" s="21" t="n">
        <f aca="false">IF(ISBLANK(Actuals!BQ90),-1497.86*Escalation!$B$65,Actuals!BQ90)</f>
        <v>-1621.3318351776</v>
      </c>
      <c r="BQ270" s="21" t="n">
        <f aca="false">IF(ISBLANK(Actuals!BR90),-1497.86*Escalation!$B$66,Actuals!BR90)</f>
        <v>-1621.3318351776</v>
      </c>
      <c r="BR270" s="21" t="n">
        <f aca="false">IF(ISBLANK(Actuals!BS90),-1497.86*Escalation!$B$67,Actuals!BS90)</f>
        <v>-1621.3318351776</v>
      </c>
      <c r="BS270" s="21" t="n">
        <f aca="false">IF(ISBLANK(Actuals!BT90),-1497.86*Escalation!$B$68,Actuals!BT90)</f>
        <v>-1621.3318351776</v>
      </c>
      <c r="BT270" s="21" t="n">
        <f aca="false">IF(ISBLANK(Actuals!BU90),-1497.86*Escalation!$B$69,Actuals!BU90)</f>
        <v>-1621.3318351776</v>
      </c>
      <c r="BU270" s="21" t="n">
        <f aca="false">IF(ISBLANK(Actuals!BV90),-1497.86*Escalation!$B$70,Actuals!BV90)</f>
        <v>-1621.3318351776</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-1653.75847188115</v>
      </c>
      <c r="BZ270" s="21" t="n">
        <f aca="false">IF(ISBLANK(Actuals!CA90),-1497.86*Escalation!$B$75,Actuals!CA90)</f>
        <v>-1653.75847188115</v>
      </c>
      <c r="CA270" s="21" t="n">
        <f aca="false">IF(ISBLANK(Actuals!CB90),-1497.86*Escalation!$B$76,Actuals!CB90)</f>
        <v>-1653.75847188115</v>
      </c>
      <c r="CB270" s="21" t="n">
        <f aca="false">IF(ISBLANK(Actuals!CC90),-1497.86*Escalation!$B$77,Actuals!CC90)</f>
        <v>-1653.75847188115</v>
      </c>
      <c r="CC270" s="21" t="n">
        <f aca="false">IF(ISBLANK(Actuals!CD90),-1497.86*Escalation!$B$78,Actuals!CD90)</f>
        <v>-1653.75847188115</v>
      </c>
      <c r="CD270" s="21" t="n">
        <f aca="false">IF(ISBLANK(Actuals!CE90),-1497.86*Escalation!$B$79,Actuals!CE90)</f>
        <v>-1653.75847188115</v>
      </c>
      <c r="CE270" s="21" t="n">
        <f aca="false">IF(ISBLANK(Actuals!CF90),-1497.86*Escalation!$B$80,Actuals!CF90)</f>
        <v>-1653.75847188115</v>
      </c>
      <c r="CF270" s="21" t="n">
        <f aca="false">IF(ISBLANK(Actuals!CG90),-1497.86*Escalation!$B$81,Actuals!CG90)</f>
        <v>-1653.75847188115</v>
      </c>
      <c r="CG270" s="21" t="n">
        <f aca="false">IF(ISBLANK(Actuals!CH90),-1497.86*Escalation!$B$82,Actuals!CH90)</f>
        <v>-1653.75847188115</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-1686.83364131878</v>
      </c>
      <c r="CL270" s="21" t="n">
        <f aca="false">IF(ISBLANK(Actuals!CM90),-1497.86*Escalation!$B$87,Actuals!CM90)</f>
        <v>-1686.83364131878</v>
      </c>
      <c r="CM270" s="21" t="n">
        <f aca="false">IF(ISBLANK(Actuals!CN90),-1497.86*Escalation!$B$88,Actuals!CN90)</f>
        <v>-1686.83364131878</v>
      </c>
      <c r="CN270" s="21" t="n">
        <f aca="false">IF(ISBLANK(Actuals!CO90),-1497.86*Escalation!$B$89,Actuals!CO90)</f>
        <v>-1686.83364131878</v>
      </c>
      <c r="CO270" s="21" t="n">
        <f aca="false">IF(ISBLANK(Actuals!CP90),-1497.86*Escalation!$B$90,Actuals!CP90)</f>
        <v>-1686.83364131878</v>
      </c>
      <c r="CP270" s="21" t="n">
        <f aca="false">IF(ISBLANK(Actuals!CQ90),-1497.86*Escalation!$B$91,Actuals!CQ90)</f>
        <v>-1686.83364131878</v>
      </c>
      <c r="CQ270" s="21" t="n">
        <f aca="false">IF(ISBLANK(Actuals!CR90),-1497.86*Escalation!$B$92,Actuals!CR90)</f>
        <v>-1686.83364131878</v>
      </c>
      <c r="CR270" s="21" t="n">
        <f aca="false">IF(ISBLANK(Actuals!CS90),-1497.86*Escalation!$B$93,Actuals!CS90)</f>
        <v>-1686.83364131878</v>
      </c>
      <c r="CS270" s="21" t="n">
        <f aca="false">IF(ISBLANK(Actuals!CT90),-1497.86*Escalation!$B$94,Actuals!CT90)</f>
        <v>-1686.83364131878</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-1720.57031414515</v>
      </c>
      <c r="CX270" s="21" t="n">
        <f aca="false">IF(ISBLANK(Actuals!CY90),-1497.86*Escalation!$B$99,Actuals!CY90)</f>
        <v>-1720.57031414515</v>
      </c>
      <c r="CY270" s="21" t="n">
        <f aca="false">IF(ISBLANK(Actuals!CZ90),-1497.86*Escalation!$B$100,Actuals!CZ90)</f>
        <v>-1720.57031414515</v>
      </c>
      <c r="CZ270" s="21" t="n">
        <f aca="false">IF(ISBLANK(Actuals!DA90),-1497.86*Escalation!$B$101,Actuals!DA90)</f>
        <v>-1720.57031414515</v>
      </c>
      <c r="DA270" s="21" t="n">
        <f aca="false">IF(ISBLANK(Actuals!DB90),-1497.86*Escalation!$B$102,Actuals!DB90)</f>
        <v>-1720.57031414515</v>
      </c>
      <c r="DB270" s="21" t="n">
        <f aca="false">IF(ISBLANK(Actuals!DC90),-1497.86*Escalation!$B$103,Actuals!DC90)</f>
        <v>-1720.57031414515</v>
      </c>
      <c r="DC270" s="21" t="n">
        <f aca="false">IF(ISBLANK(Actuals!DD90),-1497.86*Escalation!$B$104,Actuals!DD90)</f>
        <v>-1720.57031414515</v>
      </c>
      <c r="DD270" s="21" t="n">
        <f aca="false">IF(ISBLANK(Actuals!DE90),-1497.86*Escalation!$B$105,Actuals!DE90)</f>
        <v>-1720.57031414515</v>
      </c>
      <c r="DE270" s="21" t="n">
        <f aca="false">IF(ISBLANK(Actuals!DF90),-1497.86*Escalation!$B$106,Actuals!DF90)</f>
        <v>-1720.57031414515</v>
      </c>
    </row>
    <row r="271" customFormat="false" ht="15" hidden="false" customHeight="true" outlineLevel="0" collapsed="false">
      <c r="A271" s="35" t="s">
        <v>125</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-290</v>
      </c>
      <c r="R271" s="21" t="n">
        <f aca="false">IF(ISBLANK(Actuals!S91),-290*Escalation!$B$15,Actuals!S91)</f>
        <v>-290</v>
      </c>
      <c r="S271" s="21" t="n">
        <f aca="false">IF(ISBLANK(Actuals!T91),-290*Escalation!$B$16,Actuals!T91)</f>
        <v>-290</v>
      </c>
      <c r="T271" s="21" t="n">
        <f aca="false">IF(ISBLANK(Actuals!U91),-290*Escalation!$B$17,Actuals!U91)</f>
        <v>-290</v>
      </c>
      <c r="U271" s="21" t="n">
        <f aca="false">IF(ISBLANK(Actuals!V91),-290*Escalation!$B$18,Actuals!V91)</f>
        <v>-290</v>
      </c>
      <c r="V271" s="21" t="n">
        <f aca="false">IF(ISBLANK(Actuals!W91),-290*Escalation!$B$19,Actuals!W91)</f>
        <v>-290</v>
      </c>
      <c r="W271" s="21" t="n">
        <f aca="false">IF(ISBLANK(Actuals!X91),-290*Escalation!$B$20,Actuals!X91)</f>
        <v>-290</v>
      </c>
      <c r="X271" s="21" t="n">
        <f aca="false">IF(ISBLANK(Actuals!Y91),-290*Escalation!$B$21,Actuals!Y91)</f>
        <v>-290</v>
      </c>
      <c r="Y271" s="21" t="n">
        <f aca="false">IF(ISBLANK(Actuals!Z91),-290*Escalation!$B$22,Actuals!Z91)</f>
        <v>-290</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-295.8</v>
      </c>
      <c r="AD271" s="21" t="n">
        <f aca="false">IF(ISBLANK(Actuals!AE91),-290*Escalation!$B$27,Actuals!AE91)</f>
        <v>-295.8</v>
      </c>
      <c r="AE271" s="21" t="n">
        <f aca="false">IF(ISBLANK(Actuals!AF91),-290*Escalation!$B$28,Actuals!AF91)</f>
        <v>-295.8</v>
      </c>
      <c r="AF271" s="21" t="n">
        <f aca="false">IF(ISBLANK(Actuals!AG91),-290*Escalation!$B$29,Actuals!AG91)</f>
        <v>-295.8</v>
      </c>
      <c r="AG271" s="21" t="n">
        <f aca="false">IF(ISBLANK(Actuals!AH91),-290*Escalation!$B$30,Actuals!AH91)</f>
        <v>-295.8</v>
      </c>
      <c r="AH271" s="21" t="n">
        <f aca="false">IF(ISBLANK(Actuals!AI91),-290*Escalation!$B$31,Actuals!AI91)</f>
        <v>-295.8</v>
      </c>
      <c r="AI271" s="21" t="n">
        <f aca="false">IF(ISBLANK(Actuals!AJ91),-290*Escalation!$B$32,Actuals!AJ91)</f>
        <v>-295.8</v>
      </c>
      <c r="AJ271" s="21" t="n">
        <f aca="false">IF(ISBLANK(Actuals!AK91),-290*Escalation!$B$33,Actuals!AK91)</f>
        <v>-295.8</v>
      </c>
      <c r="AK271" s="21" t="n">
        <f aca="false">IF(ISBLANK(Actuals!AL91),-290*Escalation!$B$34,Actuals!AL91)</f>
        <v>-295.8</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-301.716</v>
      </c>
      <c r="AP271" s="21" t="n">
        <f aca="false">IF(ISBLANK(Actuals!AQ91),-290*Escalation!$B$39,Actuals!AQ91)</f>
        <v>-301.716</v>
      </c>
      <c r="AQ271" s="21" t="n">
        <f aca="false">IF(ISBLANK(Actuals!AR91),-290*Escalation!$B$40,Actuals!AR91)</f>
        <v>-301.716</v>
      </c>
      <c r="AR271" s="21" t="n">
        <f aca="false">IF(ISBLANK(Actuals!AS91),-290*Escalation!$B$41,Actuals!AS91)</f>
        <v>-301.716</v>
      </c>
      <c r="AS271" s="21" t="n">
        <f aca="false">IF(ISBLANK(Actuals!AT91),-290*Escalation!$B$42,Actuals!AT91)</f>
        <v>-301.716</v>
      </c>
      <c r="AT271" s="21" t="n">
        <f aca="false">IF(ISBLANK(Actuals!AU91),-290*Escalation!$B$43,Actuals!AU91)</f>
        <v>-301.716</v>
      </c>
      <c r="AU271" s="21" t="n">
        <f aca="false">IF(ISBLANK(Actuals!AV91),-290*Escalation!$B$44,Actuals!AV91)</f>
        <v>-301.716</v>
      </c>
      <c r="AV271" s="21" t="n">
        <f aca="false">IF(ISBLANK(Actuals!AW91),-290*Escalation!$B$45,Actuals!AW91)</f>
        <v>-301.716</v>
      </c>
      <c r="AW271" s="21" t="n">
        <f aca="false">IF(ISBLANK(Actuals!AX91),-290*Escalation!$B$46,Actuals!AX91)</f>
        <v>-301.716</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-307.75032</v>
      </c>
      <c r="BB271" s="21" t="n">
        <f aca="false">IF(ISBLANK(Actuals!BC91),-290*Escalation!$B$51,Actuals!BC91)</f>
        <v>-307.75032</v>
      </c>
      <c r="BC271" s="21" t="n">
        <f aca="false">IF(ISBLANK(Actuals!BD91),-290*Escalation!$B$52,Actuals!BD91)</f>
        <v>-307.75032</v>
      </c>
      <c r="BD271" s="21" t="n">
        <f aca="false">IF(ISBLANK(Actuals!BE91),-290*Escalation!$B$53,Actuals!BE91)</f>
        <v>-307.75032</v>
      </c>
      <c r="BE271" s="21" t="n">
        <f aca="false">IF(ISBLANK(Actuals!BF91),-290*Escalation!$B$54,Actuals!BF91)</f>
        <v>-307.75032</v>
      </c>
      <c r="BF271" s="21" t="n">
        <f aca="false">IF(ISBLANK(Actuals!BG91),-290*Escalation!$B$55,Actuals!BG91)</f>
        <v>-307.75032</v>
      </c>
      <c r="BG271" s="21" t="n">
        <f aca="false">IF(ISBLANK(Actuals!BH91),-290*Escalation!$B$56,Actuals!BH91)</f>
        <v>-307.75032</v>
      </c>
      <c r="BH271" s="21" t="n">
        <f aca="false">IF(ISBLANK(Actuals!BI91),-290*Escalation!$B$57,Actuals!BI91)</f>
        <v>-307.75032</v>
      </c>
      <c r="BI271" s="21" t="n">
        <f aca="false">IF(ISBLANK(Actuals!BJ91),-290*Escalation!$B$58,Actuals!BJ91)</f>
        <v>-307.75032</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-313.9053264</v>
      </c>
      <c r="BN271" s="21" t="n">
        <f aca="false">IF(ISBLANK(Actuals!BO91),-290*Escalation!$B$63,Actuals!BO91)</f>
        <v>-313.9053264</v>
      </c>
      <c r="BO271" s="21" t="n">
        <f aca="false">IF(ISBLANK(Actuals!BP91),-290*Escalation!$B$64,Actuals!BP91)</f>
        <v>-313.9053264</v>
      </c>
      <c r="BP271" s="21" t="n">
        <f aca="false">IF(ISBLANK(Actuals!BQ91),-290*Escalation!$B$65,Actuals!BQ91)</f>
        <v>-313.9053264</v>
      </c>
      <c r="BQ271" s="21" t="n">
        <f aca="false">IF(ISBLANK(Actuals!BR91),-290*Escalation!$B$66,Actuals!BR91)</f>
        <v>-313.9053264</v>
      </c>
      <c r="BR271" s="21" t="n">
        <f aca="false">IF(ISBLANK(Actuals!BS91),-290*Escalation!$B$67,Actuals!BS91)</f>
        <v>-313.9053264</v>
      </c>
      <c r="BS271" s="21" t="n">
        <f aca="false">IF(ISBLANK(Actuals!BT91),-290*Escalation!$B$68,Actuals!BT91)</f>
        <v>-313.9053264</v>
      </c>
      <c r="BT271" s="21" t="n">
        <f aca="false">IF(ISBLANK(Actuals!BU91),-290*Escalation!$B$69,Actuals!BU91)</f>
        <v>-313.9053264</v>
      </c>
      <c r="BU271" s="21" t="n">
        <f aca="false">IF(ISBLANK(Actuals!BV91),-290*Escalation!$B$70,Actuals!BV91)</f>
        <v>-313.9053264</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-320.183432928</v>
      </c>
      <c r="BZ271" s="21" t="n">
        <f aca="false">IF(ISBLANK(Actuals!CA91),-290*Escalation!$B$75,Actuals!CA91)</f>
        <v>-320.183432928</v>
      </c>
      <c r="CA271" s="21" t="n">
        <f aca="false">IF(ISBLANK(Actuals!CB91),-290*Escalation!$B$76,Actuals!CB91)</f>
        <v>-320.183432928</v>
      </c>
      <c r="CB271" s="21" t="n">
        <f aca="false">IF(ISBLANK(Actuals!CC91),-290*Escalation!$B$77,Actuals!CC91)</f>
        <v>-320.183432928</v>
      </c>
      <c r="CC271" s="21" t="n">
        <f aca="false">IF(ISBLANK(Actuals!CD91),-290*Escalation!$B$78,Actuals!CD91)</f>
        <v>-320.183432928</v>
      </c>
      <c r="CD271" s="21" t="n">
        <f aca="false">IF(ISBLANK(Actuals!CE91),-290*Escalation!$B$79,Actuals!CE91)</f>
        <v>-320.183432928</v>
      </c>
      <c r="CE271" s="21" t="n">
        <f aca="false">IF(ISBLANK(Actuals!CF91),-290*Escalation!$B$80,Actuals!CF91)</f>
        <v>-320.183432928</v>
      </c>
      <c r="CF271" s="21" t="n">
        <f aca="false">IF(ISBLANK(Actuals!CG91),-290*Escalation!$B$81,Actuals!CG91)</f>
        <v>-320.183432928</v>
      </c>
      <c r="CG271" s="21" t="n">
        <f aca="false">IF(ISBLANK(Actuals!CH91),-290*Escalation!$B$82,Actuals!CH91)</f>
        <v>-320.183432928</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-326.58710158656</v>
      </c>
      <c r="CL271" s="21" t="n">
        <f aca="false">IF(ISBLANK(Actuals!CM91),-290*Escalation!$B$87,Actuals!CM91)</f>
        <v>-326.58710158656</v>
      </c>
      <c r="CM271" s="21" t="n">
        <f aca="false">IF(ISBLANK(Actuals!CN91),-290*Escalation!$B$88,Actuals!CN91)</f>
        <v>-326.58710158656</v>
      </c>
      <c r="CN271" s="21" t="n">
        <f aca="false">IF(ISBLANK(Actuals!CO91),-290*Escalation!$B$89,Actuals!CO91)</f>
        <v>-326.58710158656</v>
      </c>
      <c r="CO271" s="21" t="n">
        <f aca="false">IF(ISBLANK(Actuals!CP91),-290*Escalation!$B$90,Actuals!CP91)</f>
        <v>-326.58710158656</v>
      </c>
      <c r="CP271" s="21" t="n">
        <f aca="false">IF(ISBLANK(Actuals!CQ91),-290*Escalation!$B$91,Actuals!CQ91)</f>
        <v>-326.58710158656</v>
      </c>
      <c r="CQ271" s="21" t="n">
        <f aca="false">IF(ISBLANK(Actuals!CR91),-290*Escalation!$B$92,Actuals!CR91)</f>
        <v>-326.58710158656</v>
      </c>
      <c r="CR271" s="21" t="n">
        <f aca="false">IF(ISBLANK(Actuals!CS91),-290*Escalation!$B$93,Actuals!CS91)</f>
        <v>-326.58710158656</v>
      </c>
      <c r="CS271" s="21" t="n">
        <f aca="false">IF(ISBLANK(Actuals!CT91),-290*Escalation!$B$94,Actuals!CT91)</f>
        <v>-326.58710158656</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-333.118843618291</v>
      </c>
      <c r="CX271" s="21" t="n">
        <f aca="false">IF(ISBLANK(Actuals!CY91),-290*Escalation!$B$99,Actuals!CY91)</f>
        <v>-333.118843618291</v>
      </c>
      <c r="CY271" s="21" t="n">
        <f aca="false">IF(ISBLANK(Actuals!CZ91),-290*Escalation!$B$100,Actuals!CZ91)</f>
        <v>-333.118843618291</v>
      </c>
      <c r="CZ271" s="21" t="n">
        <f aca="false">IF(ISBLANK(Actuals!DA91),-290*Escalation!$B$101,Actuals!DA91)</f>
        <v>-333.118843618291</v>
      </c>
      <c r="DA271" s="21" t="n">
        <f aca="false">IF(ISBLANK(Actuals!DB91),-290*Escalation!$B$102,Actuals!DB91)</f>
        <v>-333.118843618291</v>
      </c>
      <c r="DB271" s="21" t="n">
        <f aca="false">IF(ISBLANK(Actuals!DC91),-290*Escalation!$B$103,Actuals!DC91)</f>
        <v>-333.118843618291</v>
      </c>
      <c r="DC271" s="21" t="n">
        <f aca="false">IF(ISBLANK(Actuals!DD91),-290*Escalation!$B$104,Actuals!DD91)</f>
        <v>-333.118843618291</v>
      </c>
      <c r="DD271" s="21" t="n">
        <f aca="false">IF(ISBLANK(Actuals!DE91),-290*Escalation!$B$105,Actuals!DE91)</f>
        <v>-333.118843618291</v>
      </c>
      <c r="DE271" s="21" t="n">
        <f aca="false">IF(ISBLANK(Actuals!DF91),-290*Escalation!$B$106,Actuals!DF91)</f>
        <v>-333.118843618291</v>
      </c>
    </row>
    <row r="272" customFormat="false" ht="15" hidden="false" customHeight="true" outlineLevel="0" collapsed="false">
      <c r="A272" s="35" t="s">
        <v>126</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-245</v>
      </c>
      <c r="R272" s="21" t="n">
        <f aca="false">IF(ISBLANK(Actuals!S92),-245*Escalation!$B$15,Actuals!S92)</f>
        <v>-245</v>
      </c>
      <c r="S272" s="21" t="n">
        <f aca="false">IF(ISBLANK(Actuals!T92),-245*Escalation!$B$16,Actuals!T92)</f>
        <v>-245</v>
      </c>
      <c r="T272" s="21" t="n">
        <f aca="false">IF(ISBLANK(Actuals!U92),-245*Escalation!$B$17,Actuals!U92)</f>
        <v>-245</v>
      </c>
      <c r="U272" s="21" t="n">
        <f aca="false">IF(ISBLANK(Actuals!V92),-245*Escalation!$B$18,Actuals!V92)</f>
        <v>-245</v>
      </c>
      <c r="V272" s="21" t="n">
        <f aca="false">IF(ISBLANK(Actuals!W92),-245*Escalation!$B$19,Actuals!W92)</f>
        <v>-245</v>
      </c>
      <c r="W272" s="21" t="n">
        <f aca="false">IF(ISBLANK(Actuals!X92),-245*Escalation!$B$20,Actuals!X92)</f>
        <v>-245</v>
      </c>
      <c r="X272" s="21" t="n">
        <f aca="false">IF(ISBLANK(Actuals!Y92),-245*Escalation!$B$21,Actuals!Y92)</f>
        <v>-245</v>
      </c>
      <c r="Y272" s="21" t="n">
        <f aca="false">IF(ISBLANK(Actuals!Z92),-245*Escalation!$B$22,Actuals!Z92)</f>
        <v>-245</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-249.9</v>
      </c>
      <c r="AD272" s="21" t="n">
        <f aca="false">IF(ISBLANK(Actuals!AE92),-245*Escalation!$B$27,Actuals!AE92)</f>
        <v>-249.9</v>
      </c>
      <c r="AE272" s="21" t="n">
        <f aca="false">IF(ISBLANK(Actuals!AF92),-245*Escalation!$B$28,Actuals!AF92)</f>
        <v>-249.9</v>
      </c>
      <c r="AF272" s="21" t="n">
        <f aca="false">IF(ISBLANK(Actuals!AG92),-245*Escalation!$B$29,Actuals!AG92)</f>
        <v>-249.9</v>
      </c>
      <c r="AG272" s="21" t="n">
        <f aca="false">IF(ISBLANK(Actuals!AH92),-245*Escalation!$B$30,Actuals!AH92)</f>
        <v>-249.9</v>
      </c>
      <c r="AH272" s="21" t="n">
        <f aca="false">IF(ISBLANK(Actuals!AI92),-245*Escalation!$B$31,Actuals!AI92)</f>
        <v>-249.9</v>
      </c>
      <c r="AI272" s="21" t="n">
        <f aca="false">IF(ISBLANK(Actuals!AJ92),-245*Escalation!$B$32,Actuals!AJ92)</f>
        <v>-249.9</v>
      </c>
      <c r="AJ272" s="21" t="n">
        <f aca="false">IF(ISBLANK(Actuals!AK92),-245*Escalation!$B$33,Actuals!AK92)</f>
        <v>-249.9</v>
      </c>
      <c r="AK272" s="21" t="n">
        <f aca="false">IF(ISBLANK(Actuals!AL92),-245*Escalation!$B$34,Actuals!AL92)</f>
        <v>-249.9</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-254.898</v>
      </c>
      <c r="AP272" s="21" t="n">
        <f aca="false">IF(ISBLANK(Actuals!AQ92),-245*Escalation!$B$39,Actuals!AQ92)</f>
        <v>-254.898</v>
      </c>
      <c r="AQ272" s="21" t="n">
        <f aca="false">IF(ISBLANK(Actuals!AR92),-245*Escalation!$B$40,Actuals!AR92)</f>
        <v>-254.898</v>
      </c>
      <c r="AR272" s="21" t="n">
        <f aca="false">IF(ISBLANK(Actuals!AS92),-245*Escalation!$B$41,Actuals!AS92)</f>
        <v>-254.898</v>
      </c>
      <c r="AS272" s="21" t="n">
        <f aca="false">IF(ISBLANK(Actuals!AT92),-245*Escalation!$B$42,Actuals!AT92)</f>
        <v>-254.898</v>
      </c>
      <c r="AT272" s="21" t="n">
        <f aca="false">IF(ISBLANK(Actuals!AU92),-245*Escalation!$B$43,Actuals!AU92)</f>
        <v>-254.898</v>
      </c>
      <c r="AU272" s="21" t="n">
        <f aca="false">IF(ISBLANK(Actuals!AV92),-245*Escalation!$B$44,Actuals!AV92)</f>
        <v>-254.898</v>
      </c>
      <c r="AV272" s="21" t="n">
        <f aca="false">IF(ISBLANK(Actuals!AW92),-245*Escalation!$B$45,Actuals!AW92)</f>
        <v>-254.898</v>
      </c>
      <c r="AW272" s="21" t="n">
        <f aca="false">IF(ISBLANK(Actuals!AX92),-245*Escalation!$B$46,Actuals!AX92)</f>
        <v>-254.898</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-259.99596</v>
      </c>
      <c r="BB272" s="21" t="n">
        <f aca="false">IF(ISBLANK(Actuals!BC92),-245*Escalation!$B$51,Actuals!BC92)</f>
        <v>-259.99596</v>
      </c>
      <c r="BC272" s="21" t="n">
        <f aca="false">IF(ISBLANK(Actuals!BD92),-245*Escalation!$B$52,Actuals!BD92)</f>
        <v>-259.99596</v>
      </c>
      <c r="BD272" s="21" t="n">
        <f aca="false">IF(ISBLANK(Actuals!BE92),-245*Escalation!$B$53,Actuals!BE92)</f>
        <v>-259.99596</v>
      </c>
      <c r="BE272" s="21" t="n">
        <f aca="false">IF(ISBLANK(Actuals!BF92),-245*Escalation!$B$54,Actuals!BF92)</f>
        <v>-259.99596</v>
      </c>
      <c r="BF272" s="21" t="n">
        <f aca="false">IF(ISBLANK(Actuals!BG92),-245*Escalation!$B$55,Actuals!BG92)</f>
        <v>-259.99596</v>
      </c>
      <c r="BG272" s="21" t="n">
        <f aca="false">IF(ISBLANK(Actuals!BH92),-245*Escalation!$B$56,Actuals!BH92)</f>
        <v>-259.99596</v>
      </c>
      <c r="BH272" s="21" t="n">
        <f aca="false">IF(ISBLANK(Actuals!BI92),-245*Escalation!$B$57,Actuals!BI92)</f>
        <v>-259.99596</v>
      </c>
      <c r="BI272" s="21" t="n">
        <f aca="false">IF(ISBLANK(Actuals!BJ92),-245*Escalation!$B$58,Actuals!BJ92)</f>
        <v>-259.99596</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-265.1958792</v>
      </c>
      <c r="BN272" s="21" t="n">
        <f aca="false">IF(ISBLANK(Actuals!BO92),-245*Escalation!$B$63,Actuals!BO92)</f>
        <v>-265.1958792</v>
      </c>
      <c r="BO272" s="21" t="n">
        <f aca="false">IF(ISBLANK(Actuals!BP92),-245*Escalation!$B$64,Actuals!BP92)</f>
        <v>-265.1958792</v>
      </c>
      <c r="BP272" s="21" t="n">
        <f aca="false">IF(ISBLANK(Actuals!BQ92),-245*Escalation!$B$65,Actuals!BQ92)</f>
        <v>-265.1958792</v>
      </c>
      <c r="BQ272" s="21" t="n">
        <f aca="false">IF(ISBLANK(Actuals!BR92),-245*Escalation!$B$66,Actuals!BR92)</f>
        <v>-265.1958792</v>
      </c>
      <c r="BR272" s="21" t="n">
        <f aca="false">IF(ISBLANK(Actuals!BS92),-245*Escalation!$B$67,Actuals!BS92)</f>
        <v>-265.1958792</v>
      </c>
      <c r="BS272" s="21" t="n">
        <f aca="false">IF(ISBLANK(Actuals!BT92),-245*Escalation!$B$68,Actuals!BT92)</f>
        <v>-265.1958792</v>
      </c>
      <c r="BT272" s="21" t="n">
        <f aca="false">IF(ISBLANK(Actuals!BU92),-245*Escalation!$B$69,Actuals!BU92)</f>
        <v>-265.1958792</v>
      </c>
      <c r="BU272" s="21" t="n">
        <f aca="false">IF(ISBLANK(Actuals!BV92),-245*Escalation!$B$70,Actuals!BV92)</f>
        <v>-265.1958792</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-270.499796784</v>
      </c>
      <c r="BZ272" s="21" t="n">
        <f aca="false">IF(ISBLANK(Actuals!CA92),-245*Escalation!$B$75,Actuals!CA92)</f>
        <v>-270.499796784</v>
      </c>
      <c r="CA272" s="21" t="n">
        <f aca="false">IF(ISBLANK(Actuals!CB92),-245*Escalation!$B$76,Actuals!CB92)</f>
        <v>-270.499796784</v>
      </c>
      <c r="CB272" s="21" t="n">
        <f aca="false">IF(ISBLANK(Actuals!CC92),-245*Escalation!$B$77,Actuals!CC92)</f>
        <v>-270.499796784</v>
      </c>
      <c r="CC272" s="21" t="n">
        <f aca="false">IF(ISBLANK(Actuals!CD92),-245*Escalation!$B$78,Actuals!CD92)</f>
        <v>-270.499796784</v>
      </c>
      <c r="CD272" s="21" t="n">
        <f aca="false">IF(ISBLANK(Actuals!CE92),-245*Escalation!$B$79,Actuals!CE92)</f>
        <v>-270.499796784</v>
      </c>
      <c r="CE272" s="21" t="n">
        <f aca="false">IF(ISBLANK(Actuals!CF92),-245*Escalation!$B$80,Actuals!CF92)</f>
        <v>-270.499796784</v>
      </c>
      <c r="CF272" s="21" t="n">
        <f aca="false">IF(ISBLANK(Actuals!CG92),-245*Escalation!$B$81,Actuals!CG92)</f>
        <v>-270.499796784</v>
      </c>
      <c r="CG272" s="21" t="n">
        <f aca="false">IF(ISBLANK(Actuals!CH92),-245*Escalation!$B$82,Actuals!CH92)</f>
        <v>-270.499796784</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-275.90979271968</v>
      </c>
      <c r="CL272" s="21" t="n">
        <f aca="false">IF(ISBLANK(Actuals!CM92),-245*Escalation!$B$87,Actuals!CM92)</f>
        <v>-275.90979271968</v>
      </c>
      <c r="CM272" s="21" t="n">
        <f aca="false">IF(ISBLANK(Actuals!CN92),-245*Escalation!$B$88,Actuals!CN92)</f>
        <v>-275.90979271968</v>
      </c>
      <c r="CN272" s="21" t="n">
        <f aca="false">IF(ISBLANK(Actuals!CO92),-245*Escalation!$B$89,Actuals!CO92)</f>
        <v>-275.90979271968</v>
      </c>
      <c r="CO272" s="21" t="n">
        <f aca="false">IF(ISBLANK(Actuals!CP92),-245*Escalation!$B$90,Actuals!CP92)</f>
        <v>-275.90979271968</v>
      </c>
      <c r="CP272" s="21" t="n">
        <f aca="false">IF(ISBLANK(Actuals!CQ92),-245*Escalation!$B$91,Actuals!CQ92)</f>
        <v>-275.90979271968</v>
      </c>
      <c r="CQ272" s="21" t="n">
        <f aca="false">IF(ISBLANK(Actuals!CR92),-245*Escalation!$B$92,Actuals!CR92)</f>
        <v>-275.90979271968</v>
      </c>
      <c r="CR272" s="21" t="n">
        <f aca="false">IF(ISBLANK(Actuals!CS92),-245*Escalation!$B$93,Actuals!CS92)</f>
        <v>-275.90979271968</v>
      </c>
      <c r="CS272" s="21" t="n">
        <f aca="false">IF(ISBLANK(Actuals!CT92),-245*Escalation!$B$94,Actuals!CT92)</f>
        <v>-275.90979271968</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-281.427988574074</v>
      </c>
      <c r="CX272" s="21" t="n">
        <f aca="false">IF(ISBLANK(Actuals!CY92),-245*Escalation!$B$99,Actuals!CY92)</f>
        <v>-281.427988574074</v>
      </c>
      <c r="CY272" s="21" t="n">
        <f aca="false">IF(ISBLANK(Actuals!CZ92),-245*Escalation!$B$100,Actuals!CZ92)</f>
        <v>-281.427988574074</v>
      </c>
      <c r="CZ272" s="21" t="n">
        <f aca="false">IF(ISBLANK(Actuals!DA92),-245*Escalation!$B$101,Actuals!DA92)</f>
        <v>-281.427988574074</v>
      </c>
      <c r="DA272" s="21" t="n">
        <f aca="false">IF(ISBLANK(Actuals!DB92),-245*Escalation!$B$102,Actuals!DB92)</f>
        <v>-281.427988574074</v>
      </c>
      <c r="DB272" s="21" t="n">
        <f aca="false">IF(ISBLANK(Actuals!DC92),-245*Escalation!$B$103,Actuals!DC92)</f>
        <v>-281.427988574074</v>
      </c>
      <c r="DC272" s="21" t="n">
        <f aca="false">IF(ISBLANK(Actuals!DD92),-245*Escalation!$B$104,Actuals!DD92)</f>
        <v>-281.427988574074</v>
      </c>
      <c r="DD272" s="21" t="n">
        <f aca="false">IF(ISBLANK(Actuals!DE92),-245*Escalation!$B$105,Actuals!DE92)</f>
        <v>-281.427988574074</v>
      </c>
      <c r="DE272" s="21" t="n">
        <f aca="false">IF(ISBLANK(Actuals!DF92),-245*Escalation!$B$106,Actuals!DF92)</f>
        <v>-281.427988574074</v>
      </c>
    </row>
    <row r="273" customFormat="false" ht="15" hidden="false" customHeight="true" outlineLevel="0" collapsed="false">
      <c r="A273" s="35" t="s">
        <v>127</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-1179.5</v>
      </c>
      <c r="R273" s="21" t="n">
        <f aca="false">IF(ISBLANK(Actuals!S93),-1179.5*Escalation!$B$15,Actuals!S93)</f>
        <v>-1179.5</v>
      </c>
      <c r="S273" s="21" t="n">
        <f aca="false">IF(ISBLANK(Actuals!T93),-1179.5*Escalation!$B$16,Actuals!T93)</f>
        <v>-1179.5</v>
      </c>
      <c r="T273" s="21" t="n">
        <f aca="false">IF(ISBLANK(Actuals!U93),-1179.5*Escalation!$B$17,Actuals!U93)</f>
        <v>-1179.5</v>
      </c>
      <c r="U273" s="21" t="n">
        <f aca="false">IF(ISBLANK(Actuals!V93),-1179.5*Escalation!$B$18,Actuals!V93)</f>
        <v>-1179.5</v>
      </c>
      <c r="V273" s="21" t="n">
        <f aca="false">IF(ISBLANK(Actuals!W93),-1179.5*Escalation!$B$19,Actuals!W93)</f>
        <v>-1179.5</v>
      </c>
      <c r="W273" s="21" t="n">
        <f aca="false">IF(ISBLANK(Actuals!X93),-1179.5*Escalation!$B$20,Actuals!X93)</f>
        <v>-1179.5</v>
      </c>
      <c r="X273" s="21" t="n">
        <f aca="false">IF(ISBLANK(Actuals!Y93),-1179.5*Escalation!$B$21,Actuals!Y93)</f>
        <v>-1179.5</v>
      </c>
      <c r="Y273" s="21" t="n">
        <f aca="false">IF(ISBLANK(Actuals!Z93),-1179.5*Escalation!$B$22,Actuals!Z93)</f>
        <v>-1179.5</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-1203.09</v>
      </c>
      <c r="AD273" s="21" t="n">
        <f aca="false">IF(ISBLANK(Actuals!AE93),-1179.5*Escalation!$B$27,Actuals!AE93)</f>
        <v>-1203.09</v>
      </c>
      <c r="AE273" s="21" t="n">
        <f aca="false">IF(ISBLANK(Actuals!AF93),-1179.5*Escalation!$B$28,Actuals!AF93)</f>
        <v>-1203.09</v>
      </c>
      <c r="AF273" s="21" t="n">
        <f aca="false">IF(ISBLANK(Actuals!AG93),-1179.5*Escalation!$B$29,Actuals!AG93)</f>
        <v>-1203.09</v>
      </c>
      <c r="AG273" s="21" t="n">
        <f aca="false">IF(ISBLANK(Actuals!AH93),-1179.5*Escalation!$B$30,Actuals!AH93)</f>
        <v>-1203.09</v>
      </c>
      <c r="AH273" s="21" t="n">
        <f aca="false">IF(ISBLANK(Actuals!AI93),-1179.5*Escalation!$B$31,Actuals!AI93)</f>
        <v>-1203.09</v>
      </c>
      <c r="AI273" s="21" t="n">
        <f aca="false">IF(ISBLANK(Actuals!AJ93),-1179.5*Escalation!$B$32,Actuals!AJ93)</f>
        <v>-1203.09</v>
      </c>
      <c r="AJ273" s="21" t="n">
        <f aca="false">IF(ISBLANK(Actuals!AK93),-1179.5*Escalation!$B$33,Actuals!AK93)</f>
        <v>-1203.09</v>
      </c>
      <c r="AK273" s="21" t="n">
        <f aca="false">IF(ISBLANK(Actuals!AL93),-1179.5*Escalation!$B$34,Actuals!AL93)</f>
        <v>-1203.09</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-1227.1518</v>
      </c>
      <c r="AP273" s="21" t="n">
        <f aca="false">IF(ISBLANK(Actuals!AQ93),-1179.5*Escalation!$B$39,Actuals!AQ93)</f>
        <v>-1227.1518</v>
      </c>
      <c r="AQ273" s="21" t="n">
        <f aca="false">IF(ISBLANK(Actuals!AR93),-1179.5*Escalation!$B$40,Actuals!AR93)</f>
        <v>-1227.1518</v>
      </c>
      <c r="AR273" s="21" t="n">
        <f aca="false">IF(ISBLANK(Actuals!AS93),-1179.5*Escalation!$B$41,Actuals!AS93)</f>
        <v>-1227.1518</v>
      </c>
      <c r="AS273" s="21" t="n">
        <f aca="false">IF(ISBLANK(Actuals!AT93),-1179.5*Escalation!$B$42,Actuals!AT93)</f>
        <v>-1227.1518</v>
      </c>
      <c r="AT273" s="21" t="n">
        <f aca="false">IF(ISBLANK(Actuals!AU93),-1179.5*Escalation!$B$43,Actuals!AU93)</f>
        <v>-1227.1518</v>
      </c>
      <c r="AU273" s="21" t="n">
        <f aca="false">IF(ISBLANK(Actuals!AV93),-1179.5*Escalation!$B$44,Actuals!AV93)</f>
        <v>-1227.1518</v>
      </c>
      <c r="AV273" s="21" t="n">
        <f aca="false">IF(ISBLANK(Actuals!AW93),-1179.5*Escalation!$B$45,Actuals!AW93)</f>
        <v>-1227.1518</v>
      </c>
      <c r="AW273" s="21" t="n">
        <f aca="false">IF(ISBLANK(Actuals!AX93),-1179.5*Escalation!$B$46,Actuals!AX93)</f>
        <v>-1227.1518</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-1251.694836</v>
      </c>
      <c r="BB273" s="21" t="n">
        <f aca="false">IF(ISBLANK(Actuals!BC93),-1179.5*Escalation!$B$51,Actuals!BC93)</f>
        <v>-1251.694836</v>
      </c>
      <c r="BC273" s="21" t="n">
        <f aca="false">IF(ISBLANK(Actuals!BD93),-1179.5*Escalation!$B$52,Actuals!BD93)</f>
        <v>-1251.694836</v>
      </c>
      <c r="BD273" s="21" t="n">
        <f aca="false">IF(ISBLANK(Actuals!BE93),-1179.5*Escalation!$B$53,Actuals!BE93)</f>
        <v>-1251.694836</v>
      </c>
      <c r="BE273" s="21" t="n">
        <f aca="false">IF(ISBLANK(Actuals!BF93),-1179.5*Escalation!$B$54,Actuals!BF93)</f>
        <v>-1251.694836</v>
      </c>
      <c r="BF273" s="21" t="n">
        <f aca="false">IF(ISBLANK(Actuals!BG93),-1179.5*Escalation!$B$55,Actuals!BG93)</f>
        <v>-1251.694836</v>
      </c>
      <c r="BG273" s="21" t="n">
        <f aca="false">IF(ISBLANK(Actuals!BH93),-1179.5*Escalation!$B$56,Actuals!BH93)</f>
        <v>-1251.694836</v>
      </c>
      <c r="BH273" s="21" t="n">
        <f aca="false">IF(ISBLANK(Actuals!BI93),-1179.5*Escalation!$B$57,Actuals!BI93)</f>
        <v>-1251.694836</v>
      </c>
      <c r="BI273" s="21" t="n">
        <f aca="false">IF(ISBLANK(Actuals!BJ93),-1179.5*Escalation!$B$58,Actuals!BJ93)</f>
        <v>-1251.694836</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-1276.72873272</v>
      </c>
      <c r="BN273" s="21" t="n">
        <f aca="false">IF(ISBLANK(Actuals!BO93),-1179.5*Escalation!$B$63,Actuals!BO93)</f>
        <v>-1276.72873272</v>
      </c>
      <c r="BO273" s="21" t="n">
        <f aca="false">IF(ISBLANK(Actuals!BP93),-1179.5*Escalation!$B$64,Actuals!BP93)</f>
        <v>-1276.72873272</v>
      </c>
      <c r="BP273" s="21" t="n">
        <f aca="false">IF(ISBLANK(Actuals!BQ93),-1179.5*Escalation!$B$65,Actuals!BQ93)</f>
        <v>-1276.72873272</v>
      </c>
      <c r="BQ273" s="21" t="n">
        <f aca="false">IF(ISBLANK(Actuals!BR93),-1179.5*Escalation!$B$66,Actuals!BR93)</f>
        <v>-1276.72873272</v>
      </c>
      <c r="BR273" s="21" t="n">
        <f aca="false">IF(ISBLANK(Actuals!BS93),-1179.5*Escalation!$B$67,Actuals!BS93)</f>
        <v>-1276.72873272</v>
      </c>
      <c r="BS273" s="21" t="n">
        <f aca="false">IF(ISBLANK(Actuals!BT93),-1179.5*Escalation!$B$68,Actuals!BT93)</f>
        <v>-1276.72873272</v>
      </c>
      <c r="BT273" s="21" t="n">
        <f aca="false">IF(ISBLANK(Actuals!BU93),-1179.5*Escalation!$B$69,Actuals!BU93)</f>
        <v>-1276.72873272</v>
      </c>
      <c r="BU273" s="21" t="n">
        <f aca="false">IF(ISBLANK(Actuals!BV93),-1179.5*Escalation!$B$70,Actuals!BV93)</f>
        <v>-1276.72873272</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-1302.2633073744</v>
      </c>
      <c r="BZ273" s="21" t="n">
        <f aca="false">IF(ISBLANK(Actuals!CA93),-1179.5*Escalation!$B$75,Actuals!CA93)</f>
        <v>-1302.2633073744</v>
      </c>
      <c r="CA273" s="21" t="n">
        <f aca="false">IF(ISBLANK(Actuals!CB93),-1179.5*Escalation!$B$76,Actuals!CB93)</f>
        <v>-1302.2633073744</v>
      </c>
      <c r="CB273" s="21" t="n">
        <f aca="false">IF(ISBLANK(Actuals!CC93),-1179.5*Escalation!$B$77,Actuals!CC93)</f>
        <v>-1302.2633073744</v>
      </c>
      <c r="CC273" s="21" t="n">
        <f aca="false">IF(ISBLANK(Actuals!CD93),-1179.5*Escalation!$B$78,Actuals!CD93)</f>
        <v>-1302.2633073744</v>
      </c>
      <c r="CD273" s="21" t="n">
        <f aca="false">IF(ISBLANK(Actuals!CE93),-1179.5*Escalation!$B$79,Actuals!CE93)</f>
        <v>-1302.2633073744</v>
      </c>
      <c r="CE273" s="21" t="n">
        <f aca="false">IF(ISBLANK(Actuals!CF93),-1179.5*Escalation!$B$80,Actuals!CF93)</f>
        <v>-1302.2633073744</v>
      </c>
      <c r="CF273" s="21" t="n">
        <f aca="false">IF(ISBLANK(Actuals!CG93),-1179.5*Escalation!$B$81,Actuals!CG93)</f>
        <v>-1302.2633073744</v>
      </c>
      <c r="CG273" s="21" t="n">
        <f aca="false">IF(ISBLANK(Actuals!CH93),-1179.5*Escalation!$B$82,Actuals!CH93)</f>
        <v>-1302.2633073744</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-1328.30857352189</v>
      </c>
      <c r="CL273" s="21" t="n">
        <f aca="false">IF(ISBLANK(Actuals!CM93),-1179.5*Escalation!$B$87,Actuals!CM93)</f>
        <v>-1328.30857352189</v>
      </c>
      <c r="CM273" s="21" t="n">
        <f aca="false">IF(ISBLANK(Actuals!CN93),-1179.5*Escalation!$B$88,Actuals!CN93)</f>
        <v>-1328.30857352189</v>
      </c>
      <c r="CN273" s="21" t="n">
        <f aca="false">IF(ISBLANK(Actuals!CO93),-1179.5*Escalation!$B$89,Actuals!CO93)</f>
        <v>-1328.30857352189</v>
      </c>
      <c r="CO273" s="21" t="n">
        <f aca="false">IF(ISBLANK(Actuals!CP93),-1179.5*Escalation!$B$90,Actuals!CP93)</f>
        <v>-1328.30857352189</v>
      </c>
      <c r="CP273" s="21" t="n">
        <f aca="false">IF(ISBLANK(Actuals!CQ93),-1179.5*Escalation!$B$91,Actuals!CQ93)</f>
        <v>-1328.30857352189</v>
      </c>
      <c r="CQ273" s="21" t="n">
        <f aca="false">IF(ISBLANK(Actuals!CR93),-1179.5*Escalation!$B$92,Actuals!CR93)</f>
        <v>-1328.30857352189</v>
      </c>
      <c r="CR273" s="21" t="n">
        <f aca="false">IF(ISBLANK(Actuals!CS93),-1179.5*Escalation!$B$93,Actuals!CS93)</f>
        <v>-1328.30857352189</v>
      </c>
      <c r="CS273" s="21" t="n">
        <f aca="false">IF(ISBLANK(Actuals!CT93),-1179.5*Escalation!$B$94,Actuals!CT93)</f>
        <v>-1328.30857352189</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-1354.87474499233</v>
      </c>
      <c r="CX273" s="21" t="n">
        <f aca="false">IF(ISBLANK(Actuals!CY93),-1179.5*Escalation!$B$99,Actuals!CY93)</f>
        <v>-1354.87474499233</v>
      </c>
      <c r="CY273" s="21" t="n">
        <f aca="false">IF(ISBLANK(Actuals!CZ93),-1179.5*Escalation!$B$100,Actuals!CZ93)</f>
        <v>-1354.87474499233</v>
      </c>
      <c r="CZ273" s="21" t="n">
        <f aca="false">IF(ISBLANK(Actuals!DA93),-1179.5*Escalation!$B$101,Actuals!DA93)</f>
        <v>-1354.87474499233</v>
      </c>
      <c r="DA273" s="21" t="n">
        <f aca="false">IF(ISBLANK(Actuals!DB93),-1179.5*Escalation!$B$102,Actuals!DB93)</f>
        <v>-1354.87474499233</v>
      </c>
      <c r="DB273" s="21" t="n">
        <f aca="false">IF(ISBLANK(Actuals!DC93),-1179.5*Escalation!$B$103,Actuals!DC93)</f>
        <v>-1354.87474499233</v>
      </c>
      <c r="DC273" s="21" t="n">
        <f aca="false">IF(ISBLANK(Actuals!DD93),-1179.5*Escalation!$B$104,Actuals!DD93)</f>
        <v>-1354.87474499233</v>
      </c>
      <c r="DD273" s="21" t="n">
        <f aca="false">IF(ISBLANK(Actuals!DE93),-1179.5*Escalation!$B$105,Actuals!DE93)</f>
        <v>-1354.87474499233</v>
      </c>
      <c r="DE273" s="21" t="n">
        <f aca="false">IF(ISBLANK(Actuals!DF93),-1179.5*Escalation!$B$106,Actuals!DF93)</f>
        <v>-1354.87474499233</v>
      </c>
    </row>
    <row r="274" customFormat="false" ht="15" hidden="false" customHeight="true" outlineLevel="0" collapsed="false">
      <c r="A274" s="35" t="s">
        <v>128</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-366.3</v>
      </c>
      <c r="R274" s="21" t="n">
        <f aca="false">IF(ISBLANK(Actuals!S94),-366.3*Escalation!$B$15,Actuals!S94)</f>
        <v>-366.3</v>
      </c>
      <c r="S274" s="21" t="n">
        <f aca="false">IF(ISBLANK(Actuals!T94),-366.3*Escalation!$B$16,Actuals!T94)</f>
        <v>-366.3</v>
      </c>
      <c r="T274" s="21" t="n">
        <f aca="false">IF(ISBLANK(Actuals!U94),-366.3*Escalation!$B$17,Actuals!U94)</f>
        <v>-366.3</v>
      </c>
      <c r="U274" s="21" t="n">
        <f aca="false">IF(ISBLANK(Actuals!V94),-366.3*Escalation!$B$18,Actuals!V94)</f>
        <v>-366.3</v>
      </c>
      <c r="V274" s="21" t="n">
        <f aca="false">IF(ISBLANK(Actuals!W94),-366.3*Escalation!$B$19,Actuals!W94)</f>
        <v>-366.3</v>
      </c>
      <c r="W274" s="21" t="n">
        <f aca="false">IF(ISBLANK(Actuals!X94),-366.3*Escalation!$B$20,Actuals!X94)</f>
        <v>-366.3</v>
      </c>
      <c r="X274" s="21" t="n">
        <f aca="false">IF(ISBLANK(Actuals!Y94),-366.3*Escalation!$B$21,Actuals!Y94)</f>
        <v>-366.3</v>
      </c>
      <c r="Y274" s="21" t="n">
        <f aca="false">IF(ISBLANK(Actuals!Z94),-366.3*Escalation!$B$22,Actuals!Z94)</f>
        <v>-366.3</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-373.626</v>
      </c>
      <c r="AD274" s="21" t="n">
        <f aca="false">IF(ISBLANK(Actuals!AE94),-366.3*Escalation!$B$27,Actuals!AE94)</f>
        <v>-373.626</v>
      </c>
      <c r="AE274" s="21" t="n">
        <f aca="false">IF(ISBLANK(Actuals!AF94),-366.3*Escalation!$B$28,Actuals!AF94)</f>
        <v>-373.626</v>
      </c>
      <c r="AF274" s="21" t="n">
        <f aca="false">IF(ISBLANK(Actuals!AG94),-366.3*Escalation!$B$29,Actuals!AG94)</f>
        <v>-373.626</v>
      </c>
      <c r="AG274" s="21" t="n">
        <f aca="false">IF(ISBLANK(Actuals!AH94),-366.3*Escalation!$B$30,Actuals!AH94)</f>
        <v>-373.626</v>
      </c>
      <c r="AH274" s="21" t="n">
        <f aca="false">IF(ISBLANK(Actuals!AI94),-366.3*Escalation!$B$31,Actuals!AI94)</f>
        <v>-373.626</v>
      </c>
      <c r="AI274" s="21" t="n">
        <f aca="false">IF(ISBLANK(Actuals!AJ94),-366.3*Escalation!$B$32,Actuals!AJ94)</f>
        <v>-373.626</v>
      </c>
      <c r="AJ274" s="21" t="n">
        <f aca="false">IF(ISBLANK(Actuals!AK94),-366.3*Escalation!$B$33,Actuals!AK94)</f>
        <v>-373.626</v>
      </c>
      <c r="AK274" s="21" t="n">
        <f aca="false">IF(ISBLANK(Actuals!AL94),-366.3*Escalation!$B$34,Actuals!AL94)</f>
        <v>-373.626</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-381.09852</v>
      </c>
      <c r="AP274" s="21" t="n">
        <f aca="false">IF(ISBLANK(Actuals!AQ94),-366.3*Escalation!$B$39,Actuals!AQ94)</f>
        <v>-381.09852</v>
      </c>
      <c r="AQ274" s="21" t="n">
        <f aca="false">IF(ISBLANK(Actuals!AR94),-366.3*Escalation!$B$40,Actuals!AR94)</f>
        <v>-381.09852</v>
      </c>
      <c r="AR274" s="21" t="n">
        <f aca="false">IF(ISBLANK(Actuals!AS94),-366.3*Escalation!$B$41,Actuals!AS94)</f>
        <v>-381.09852</v>
      </c>
      <c r="AS274" s="21" t="n">
        <f aca="false">IF(ISBLANK(Actuals!AT94),-366.3*Escalation!$B$42,Actuals!AT94)</f>
        <v>-381.09852</v>
      </c>
      <c r="AT274" s="21" t="n">
        <f aca="false">IF(ISBLANK(Actuals!AU94),-366.3*Escalation!$B$43,Actuals!AU94)</f>
        <v>-381.09852</v>
      </c>
      <c r="AU274" s="21" t="n">
        <f aca="false">IF(ISBLANK(Actuals!AV94),-366.3*Escalation!$B$44,Actuals!AV94)</f>
        <v>-381.09852</v>
      </c>
      <c r="AV274" s="21" t="n">
        <f aca="false">IF(ISBLANK(Actuals!AW94),-366.3*Escalation!$B$45,Actuals!AW94)</f>
        <v>-381.09852</v>
      </c>
      <c r="AW274" s="21" t="n">
        <f aca="false">IF(ISBLANK(Actuals!AX94),-366.3*Escalation!$B$46,Actuals!AX94)</f>
        <v>-381.09852</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-388.7204904</v>
      </c>
      <c r="BB274" s="21" t="n">
        <f aca="false">IF(ISBLANK(Actuals!BC94),-366.3*Escalation!$B$51,Actuals!BC94)</f>
        <v>-388.7204904</v>
      </c>
      <c r="BC274" s="21" t="n">
        <f aca="false">IF(ISBLANK(Actuals!BD94),-366.3*Escalation!$B$52,Actuals!BD94)</f>
        <v>-388.7204904</v>
      </c>
      <c r="BD274" s="21" t="n">
        <f aca="false">IF(ISBLANK(Actuals!BE94),-366.3*Escalation!$B$53,Actuals!BE94)</f>
        <v>-388.7204904</v>
      </c>
      <c r="BE274" s="21" t="n">
        <f aca="false">IF(ISBLANK(Actuals!BF94),-366.3*Escalation!$B$54,Actuals!BF94)</f>
        <v>-388.7204904</v>
      </c>
      <c r="BF274" s="21" t="n">
        <f aca="false">IF(ISBLANK(Actuals!BG94),-366.3*Escalation!$B$55,Actuals!BG94)</f>
        <v>-388.7204904</v>
      </c>
      <c r="BG274" s="21" t="n">
        <f aca="false">IF(ISBLANK(Actuals!BH94),-366.3*Escalation!$B$56,Actuals!BH94)</f>
        <v>-388.7204904</v>
      </c>
      <c r="BH274" s="21" t="n">
        <f aca="false">IF(ISBLANK(Actuals!BI94),-366.3*Escalation!$B$57,Actuals!BI94)</f>
        <v>-388.7204904</v>
      </c>
      <c r="BI274" s="21" t="n">
        <f aca="false">IF(ISBLANK(Actuals!BJ94),-366.3*Escalation!$B$58,Actuals!BJ94)</f>
        <v>-388.7204904</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-396.494900208</v>
      </c>
      <c r="BN274" s="21" t="n">
        <f aca="false">IF(ISBLANK(Actuals!BO94),-366.3*Escalation!$B$63,Actuals!BO94)</f>
        <v>-396.494900208</v>
      </c>
      <c r="BO274" s="21" t="n">
        <f aca="false">IF(ISBLANK(Actuals!BP94),-366.3*Escalation!$B$64,Actuals!BP94)</f>
        <v>-396.494900208</v>
      </c>
      <c r="BP274" s="21" t="n">
        <f aca="false">IF(ISBLANK(Actuals!BQ94),-366.3*Escalation!$B$65,Actuals!BQ94)</f>
        <v>-396.494900208</v>
      </c>
      <c r="BQ274" s="21" t="n">
        <f aca="false">IF(ISBLANK(Actuals!BR94),-366.3*Escalation!$B$66,Actuals!BR94)</f>
        <v>-396.494900208</v>
      </c>
      <c r="BR274" s="21" t="n">
        <f aca="false">IF(ISBLANK(Actuals!BS94),-366.3*Escalation!$B$67,Actuals!BS94)</f>
        <v>-396.494900208</v>
      </c>
      <c r="BS274" s="21" t="n">
        <f aca="false">IF(ISBLANK(Actuals!BT94),-366.3*Escalation!$B$68,Actuals!BT94)</f>
        <v>-396.494900208</v>
      </c>
      <c r="BT274" s="21" t="n">
        <f aca="false">IF(ISBLANK(Actuals!BU94),-366.3*Escalation!$B$69,Actuals!BU94)</f>
        <v>-396.494900208</v>
      </c>
      <c r="BU274" s="21" t="n">
        <f aca="false">IF(ISBLANK(Actuals!BV94),-366.3*Escalation!$B$70,Actuals!BV94)</f>
        <v>-396.494900208</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-404.42479821216</v>
      </c>
      <c r="BZ274" s="21" t="n">
        <f aca="false">IF(ISBLANK(Actuals!CA94),-366.3*Escalation!$B$75,Actuals!CA94)</f>
        <v>-404.42479821216</v>
      </c>
      <c r="CA274" s="21" t="n">
        <f aca="false">IF(ISBLANK(Actuals!CB94),-366.3*Escalation!$B$76,Actuals!CB94)</f>
        <v>-404.42479821216</v>
      </c>
      <c r="CB274" s="21" t="n">
        <f aca="false">IF(ISBLANK(Actuals!CC94),-366.3*Escalation!$B$77,Actuals!CC94)</f>
        <v>-404.42479821216</v>
      </c>
      <c r="CC274" s="21" t="n">
        <f aca="false">IF(ISBLANK(Actuals!CD94),-366.3*Escalation!$B$78,Actuals!CD94)</f>
        <v>-404.42479821216</v>
      </c>
      <c r="CD274" s="21" t="n">
        <f aca="false">IF(ISBLANK(Actuals!CE94),-366.3*Escalation!$B$79,Actuals!CE94)</f>
        <v>-404.42479821216</v>
      </c>
      <c r="CE274" s="21" t="n">
        <f aca="false">IF(ISBLANK(Actuals!CF94),-366.3*Escalation!$B$80,Actuals!CF94)</f>
        <v>-404.42479821216</v>
      </c>
      <c r="CF274" s="21" t="n">
        <f aca="false">IF(ISBLANK(Actuals!CG94),-366.3*Escalation!$B$81,Actuals!CG94)</f>
        <v>-404.42479821216</v>
      </c>
      <c r="CG274" s="21" t="n">
        <f aca="false">IF(ISBLANK(Actuals!CH94),-366.3*Escalation!$B$82,Actuals!CH94)</f>
        <v>-404.42479821216</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-412.513294176403</v>
      </c>
      <c r="CL274" s="21" t="n">
        <f aca="false">IF(ISBLANK(Actuals!CM94),-366.3*Escalation!$B$87,Actuals!CM94)</f>
        <v>-412.513294176403</v>
      </c>
      <c r="CM274" s="21" t="n">
        <f aca="false">IF(ISBLANK(Actuals!CN94),-366.3*Escalation!$B$88,Actuals!CN94)</f>
        <v>-412.513294176403</v>
      </c>
      <c r="CN274" s="21" t="n">
        <f aca="false">IF(ISBLANK(Actuals!CO94),-366.3*Escalation!$B$89,Actuals!CO94)</f>
        <v>-412.513294176403</v>
      </c>
      <c r="CO274" s="21" t="n">
        <f aca="false">IF(ISBLANK(Actuals!CP94),-366.3*Escalation!$B$90,Actuals!CP94)</f>
        <v>-412.513294176403</v>
      </c>
      <c r="CP274" s="21" t="n">
        <f aca="false">IF(ISBLANK(Actuals!CQ94),-366.3*Escalation!$B$91,Actuals!CQ94)</f>
        <v>-412.513294176403</v>
      </c>
      <c r="CQ274" s="21" t="n">
        <f aca="false">IF(ISBLANK(Actuals!CR94),-366.3*Escalation!$B$92,Actuals!CR94)</f>
        <v>-412.513294176403</v>
      </c>
      <c r="CR274" s="21" t="n">
        <f aca="false">IF(ISBLANK(Actuals!CS94),-366.3*Escalation!$B$93,Actuals!CS94)</f>
        <v>-412.513294176403</v>
      </c>
      <c r="CS274" s="21" t="n">
        <f aca="false">IF(ISBLANK(Actuals!CT94),-366.3*Escalation!$B$94,Actuals!CT94)</f>
        <v>-412.513294176403</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-420.763560059931</v>
      </c>
      <c r="CX274" s="21" t="n">
        <f aca="false">IF(ISBLANK(Actuals!CY94),-366.3*Escalation!$B$99,Actuals!CY94)</f>
        <v>-420.763560059931</v>
      </c>
      <c r="CY274" s="21" t="n">
        <f aca="false">IF(ISBLANK(Actuals!CZ94),-366.3*Escalation!$B$100,Actuals!CZ94)</f>
        <v>-420.763560059931</v>
      </c>
      <c r="CZ274" s="21" t="n">
        <f aca="false">IF(ISBLANK(Actuals!DA94),-366.3*Escalation!$B$101,Actuals!DA94)</f>
        <v>-420.763560059931</v>
      </c>
      <c r="DA274" s="21" t="n">
        <f aca="false">IF(ISBLANK(Actuals!DB94),-366.3*Escalation!$B$102,Actuals!DB94)</f>
        <v>-420.763560059931</v>
      </c>
      <c r="DB274" s="21" t="n">
        <f aca="false">IF(ISBLANK(Actuals!DC94),-366.3*Escalation!$B$103,Actuals!DC94)</f>
        <v>-420.763560059931</v>
      </c>
      <c r="DC274" s="21" t="n">
        <f aca="false">IF(ISBLANK(Actuals!DD94),-366.3*Escalation!$B$104,Actuals!DD94)</f>
        <v>-420.763560059931</v>
      </c>
      <c r="DD274" s="21" t="n">
        <f aca="false">IF(ISBLANK(Actuals!DE94),-366.3*Escalation!$B$105,Actuals!DE94)</f>
        <v>-420.763560059931</v>
      </c>
      <c r="DE274" s="21" t="n">
        <f aca="false">IF(ISBLANK(Actuals!DF94),-366.3*Escalation!$B$106,Actuals!DF94)</f>
        <v>-420.763560059931</v>
      </c>
    </row>
    <row r="275" customFormat="false" ht="15" hidden="false" customHeight="true" outlineLevel="0" collapsed="false">
      <c r="A275" s="35" t="s">
        <v>129</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-50.07</v>
      </c>
      <c r="R275" s="21" t="n">
        <f aca="false">IF(ISBLANK(Actuals!S95),-50.07*Escalation!$B$15,Actuals!S95)</f>
        <v>-50.07</v>
      </c>
      <c r="S275" s="21" t="n">
        <f aca="false">IF(ISBLANK(Actuals!T95),-50.07*Escalation!$B$16,Actuals!T95)</f>
        <v>-50.07</v>
      </c>
      <c r="T275" s="21" t="n">
        <f aca="false">IF(ISBLANK(Actuals!U95),-50.07*Escalation!$B$17,Actuals!U95)</f>
        <v>-50.07</v>
      </c>
      <c r="U275" s="21" t="n">
        <f aca="false">IF(ISBLANK(Actuals!V95),-50.07*Escalation!$B$18,Actuals!V95)</f>
        <v>-50.07</v>
      </c>
      <c r="V275" s="21" t="n">
        <f aca="false">IF(ISBLANK(Actuals!W95),-50.07*Escalation!$B$19,Actuals!W95)</f>
        <v>-50.07</v>
      </c>
      <c r="W275" s="21" t="n">
        <f aca="false">IF(ISBLANK(Actuals!X95),-50.07*Escalation!$B$20,Actuals!X95)</f>
        <v>-50.07</v>
      </c>
      <c r="X275" s="21" t="n">
        <f aca="false">IF(ISBLANK(Actuals!Y95),-50.07*Escalation!$B$21,Actuals!Y95)</f>
        <v>-50.07</v>
      </c>
      <c r="Y275" s="21" t="n">
        <f aca="false">IF(ISBLANK(Actuals!Z95),-50.07*Escalation!$B$22,Actuals!Z95)</f>
        <v>-50.07</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-51.0714</v>
      </c>
      <c r="AD275" s="21" t="n">
        <f aca="false">IF(ISBLANK(Actuals!AE95),-50.07*Escalation!$B$27,Actuals!AE95)</f>
        <v>-51.0714</v>
      </c>
      <c r="AE275" s="21" t="n">
        <f aca="false">IF(ISBLANK(Actuals!AF95),-50.07*Escalation!$B$28,Actuals!AF95)</f>
        <v>-51.0714</v>
      </c>
      <c r="AF275" s="21" t="n">
        <f aca="false">IF(ISBLANK(Actuals!AG95),-50.07*Escalation!$B$29,Actuals!AG95)</f>
        <v>-51.0714</v>
      </c>
      <c r="AG275" s="21" t="n">
        <f aca="false">IF(ISBLANK(Actuals!AH95),-50.07*Escalation!$B$30,Actuals!AH95)</f>
        <v>-51.0714</v>
      </c>
      <c r="AH275" s="21" t="n">
        <f aca="false">IF(ISBLANK(Actuals!AI95),-50.07*Escalation!$B$31,Actuals!AI95)</f>
        <v>-51.0714</v>
      </c>
      <c r="AI275" s="21" t="n">
        <f aca="false">IF(ISBLANK(Actuals!AJ95),-50.07*Escalation!$B$32,Actuals!AJ95)</f>
        <v>-51.0714</v>
      </c>
      <c r="AJ275" s="21" t="n">
        <f aca="false">IF(ISBLANK(Actuals!AK95),-50.07*Escalation!$B$33,Actuals!AK95)</f>
        <v>-51.0714</v>
      </c>
      <c r="AK275" s="21" t="n">
        <f aca="false">IF(ISBLANK(Actuals!AL95),-50.07*Escalation!$B$34,Actuals!AL95)</f>
        <v>-51.0714</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-52.092828</v>
      </c>
      <c r="AP275" s="21" t="n">
        <f aca="false">IF(ISBLANK(Actuals!AQ95),-50.07*Escalation!$B$39,Actuals!AQ95)</f>
        <v>-52.092828</v>
      </c>
      <c r="AQ275" s="21" t="n">
        <f aca="false">IF(ISBLANK(Actuals!AR95),-50.07*Escalation!$B$40,Actuals!AR95)</f>
        <v>-52.092828</v>
      </c>
      <c r="AR275" s="21" t="n">
        <f aca="false">IF(ISBLANK(Actuals!AS95),-50.07*Escalation!$B$41,Actuals!AS95)</f>
        <v>-52.092828</v>
      </c>
      <c r="AS275" s="21" t="n">
        <f aca="false">IF(ISBLANK(Actuals!AT95),-50.07*Escalation!$B$42,Actuals!AT95)</f>
        <v>-52.092828</v>
      </c>
      <c r="AT275" s="21" t="n">
        <f aca="false">IF(ISBLANK(Actuals!AU95),-50.07*Escalation!$B$43,Actuals!AU95)</f>
        <v>-52.092828</v>
      </c>
      <c r="AU275" s="21" t="n">
        <f aca="false">IF(ISBLANK(Actuals!AV95),-50.07*Escalation!$B$44,Actuals!AV95)</f>
        <v>-52.092828</v>
      </c>
      <c r="AV275" s="21" t="n">
        <f aca="false">IF(ISBLANK(Actuals!AW95),-50.07*Escalation!$B$45,Actuals!AW95)</f>
        <v>-52.092828</v>
      </c>
      <c r="AW275" s="21" t="n">
        <f aca="false">IF(ISBLANK(Actuals!AX95),-50.07*Escalation!$B$46,Actuals!AX95)</f>
        <v>-52.092828</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-53.13468456</v>
      </c>
      <c r="BB275" s="21" t="n">
        <f aca="false">IF(ISBLANK(Actuals!BC95),-50.07*Escalation!$B$51,Actuals!BC95)</f>
        <v>-53.13468456</v>
      </c>
      <c r="BC275" s="21" t="n">
        <f aca="false">IF(ISBLANK(Actuals!BD95),-50.07*Escalation!$B$52,Actuals!BD95)</f>
        <v>-53.13468456</v>
      </c>
      <c r="BD275" s="21" t="n">
        <f aca="false">IF(ISBLANK(Actuals!BE95),-50.07*Escalation!$B$53,Actuals!BE95)</f>
        <v>-53.13468456</v>
      </c>
      <c r="BE275" s="21" t="n">
        <f aca="false">IF(ISBLANK(Actuals!BF95),-50.07*Escalation!$B$54,Actuals!BF95)</f>
        <v>-53.13468456</v>
      </c>
      <c r="BF275" s="21" t="n">
        <f aca="false">IF(ISBLANK(Actuals!BG95),-50.07*Escalation!$B$55,Actuals!BG95)</f>
        <v>-53.13468456</v>
      </c>
      <c r="BG275" s="21" t="n">
        <f aca="false">IF(ISBLANK(Actuals!BH95),-50.07*Escalation!$B$56,Actuals!BH95)</f>
        <v>-53.13468456</v>
      </c>
      <c r="BH275" s="21" t="n">
        <f aca="false">IF(ISBLANK(Actuals!BI95),-50.07*Escalation!$B$57,Actuals!BI95)</f>
        <v>-53.13468456</v>
      </c>
      <c r="BI275" s="21" t="n">
        <f aca="false">IF(ISBLANK(Actuals!BJ95),-50.07*Escalation!$B$58,Actuals!BJ95)</f>
        <v>-53.13468456</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-54.1973782512</v>
      </c>
      <c r="BN275" s="21" t="n">
        <f aca="false">IF(ISBLANK(Actuals!BO95),-50.07*Escalation!$B$63,Actuals!BO95)</f>
        <v>-54.1973782512</v>
      </c>
      <c r="BO275" s="21" t="n">
        <f aca="false">IF(ISBLANK(Actuals!BP95),-50.07*Escalation!$B$64,Actuals!BP95)</f>
        <v>-54.1973782512</v>
      </c>
      <c r="BP275" s="21" t="n">
        <f aca="false">IF(ISBLANK(Actuals!BQ95),-50.07*Escalation!$B$65,Actuals!BQ95)</f>
        <v>-54.1973782512</v>
      </c>
      <c r="BQ275" s="21" t="n">
        <f aca="false">IF(ISBLANK(Actuals!BR95),-50.07*Escalation!$B$66,Actuals!BR95)</f>
        <v>-54.1973782512</v>
      </c>
      <c r="BR275" s="21" t="n">
        <f aca="false">IF(ISBLANK(Actuals!BS95),-50.07*Escalation!$B$67,Actuals!BS95)</f>
        <v>-54.1973782512</v>
      </c>
      <c r="BS275" s="21" t="n">
        <f aca="false">IF(ISBLANK(Actuals!BT95),-50.07*Escalation!$B$68,Actuals!BT95)</f>
        <v>-54.1973782512</v>
      </c>
      <c r="BT275" s="21" t="n">
        <f aca="false">IF(ISBLANK(Actuals!BU95),-50.07*Escalation!$B$69,Actuals!BU95)</f>
        <v>-54.1973782512</v>
      </c>
      <c r="BU275" s="21" t="n">
        <f aca="false">IF(ISBLANK(Actuals!BV95),-50.07*Escalation!$B$70,Actuals!BV95)</f>
        <v>-54.1973782512</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-55.281325816224</v>
      </c>
      <c r="BZ275" s="21" t="n">
        <f aca="false">IF(ISBLANK(Actuals!CA95),-50.07*Escalation!$B$75,Actuals!CA95)</f>
        <v>-55.281325816224</v>
      </c>
      <c r="CA275" s="21" t="n">
        <f aca="false">IF(ISBLANK(Actuals!CB95),-50.07*Escalation!$B$76,Actuals!CB95)</f>
        <v>-55.281325816224</v>
      </c>
      <c r="CB275" s="21" t="n">
        <f aca="false">IF(ISBLANK(Actuals!CC95),-50.07*Escalation!$B$77,Actuals!CC95)</f>
        <v>-55.281325816224</v>
      </c>
      <c r="CC275" s="21" t="n">
        <f aca="false">IF(ISBLANK(Actuals!CD95),-50.07*Escalation!$B$78,Actuals!CD95)</f>
        <v>-55.281325816224</v>
      </c>
      <c r="CD275" s="21" t="n">
        <f aca="false">IF(ISBLANK(Actuals!CE95),-50.07*Escalation!$B$79,Actuals!CE95)</f>
        <v>-55.281325816224</v>
      </c>
      <c r="CE275" s="21" t="n">
        <f aca="false">IF(ISBLANK(Actuals!CF95),-50.07*Escalation!$B$80,Actuals!CF95)</f>
        <v>-55.281325816224</v>
      </c>
      <c r="CF275" s="21" t="n">
        <f aca="false">IF(ISBLANK(Actuals!CG95),-50.07*Escalation!$B$81,Actuals!CG95)</f>
        <v>-55.281325816224</v>
      </c>
      <c r="CG275" s="21" t="n">
        <f aca="false">IF(ISBLANK(Actuals!CH95),-50.07*Escalation!$B$82,Actuals!CH95)</f>
        <v>-55.281325816224</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-56.3869523325485</v>
      </c>
      <c r="CL275" s="21" t="n">
        <f aca="false">IF(ISBLANK(Actuals!CM95),-50.07*Escalation!$B$87,Actuals!CM95)</f>
        <v>-56.3869523325485</v>
      </c>
      <c r="CM275" s="21" t="n">
        <f aca="false">IF(ISBLANK(Actuals!CN95),-50.07*Escalation!$B$88,Actuals!CN95)</f>
        <v>-56.3869523325485</v>
      </c>
      <c r="CN275" s="21" t="n">
        <f aca="false">IF(ISBLANK(Actuals!CO95),-50.07*Escalation!$B$89,Actuals!CO95)</f>
        <v>-56.3869523325485</v>
      </c>
      <c r="CO275" s="21" t="n">
        <f aca="false">IF(ISBLANK(Actuals!CP95),-50.07*Escalation!$B$90,Actuals!CP95)</f>
        <v>-56.3869523325485</v>
      </c>
      <c r="CP275" s="21" t="n">
        <f aca="false">IF(ISBLANK(Actuals!CQ95),-50.07*Escalation!$B$91,Actuals!CQ95)</f>
        <v>-56.3869523325485</v>
      </c>
      <c r="CQ275" s="21" t="n">
        <f aca="false">IF(ISBLANK(Actuals!CR95),-50.07*Escalation!$B$92,Actuals!CR95)</f>
        <v>-56.3869523325485</v>
      </c>
      <c r="CR275" s="21" t="n">
        <f aca="false">IF(ISBLANK(Actuals!CS95),-50.07*Escalation!$B$93,Actuals!CS95)</f>
        <v>-56.3869523325485</v>
      </c>
      <c r="CS275" s="21" t="n">
        <f aca="false">IF(ISBLANK(Actuals!CT95),-50.07*Escalation!$B$94,Actuals!CT95)</f>
        <v>-56.3869523325485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-57.5146913791995</v>
      </c>
      <c r="CX275" s="21" t="n">
        <f aca="false">IF(ISBLANK(Actuals!CY95),-50.07*Escalation!$B$99,Actuals!CY95)</f>
        <v>-57.5146913791995</v>
      </c>
      <c r="CY275" s="21" t="n">
        <f aca="false">IF(ISBLANK(Actuals!CZ95),-50.07*Escalation!$B$100,Actuals!CZ95)</f>
        <v>-57.5146913791995</v>
      </c>
      <c r="CZ275" s="21" t="n">
        <f aca="false">IF(ISBLANK(Actuals!DA95),-50.07*Escalation!$B$101,Actuals!DA95)</f>
        <v>-57.5146913791995</v>
      </c>
      <c r="DA275" s="21" t="n">
        <f aca="false">IF(ISBLANK(Actuals!DB95),-50.07*Escalation!$B$102,Actuals!DB95)</f>
        <v>-57.5146913791995</v>
      </c>
      <c r="DB275" s="21" t="n">
        <f aca="false">IF(ISBLANK(Actuals!DC95),-50.07*Escalation!$B$103,Actuals!DC95)</f>
        <v>-57.5146913791995</v>
      </c>
      <c r="DC275" s="21" t="n">
        <f aca="false">IF(ISBLANK(Actuals!DD95),-50.07*Escalation!$B$104,Actuals!DD95)</f>
        <v>-57.5146913791995</v>
      </c>
      <c r="DD275" s="21" t="n">
        <f aca="false">IF(ISBLANK(Actuals!DE95),-50.07*Escalation!$B$105,Actuals!DE95)</f>
        <v>-57.5146913791995</v>
      </c>
      <c r="DE275" s="21" t="n">
        <f aca="false">IF(ISBLANK(Actuals!DF95),-50.07*Escalation!$B$106,Actuals!DF95)</f>
        <v>-57.5146913791995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-896.43</v>
      </c>
      <c r="R276" s="21" t="n">
        <f aca="false">IF(ISBLANK(Actuals!S96),-896.43*Escalation!$B$15,Actuals!S96)</f>
        <v>-896.43</v>
      </c>
      <c r="S276" s="21" t="n">
        <f aca="false">IF(ISBLANK(Actuals!T96),-896.43*Escalation!$B$16,Actuals!T96)</f>
        <v>-896.43</v>
      </c>
      <c r="T276" s="21" t="n">
        <f aca="false">IF(ISBLANK(Actuals!U96),-896.43*Escalation!$B$17,Actuals!U96)</f>
        <v>-896.43</v>
      </c>
      <c r="U276" s="21" t="n">
        <f aca="false">IF(ISBLANK(Actuals!V96),-896.43*Escalation!$B$18,Actuals!V96)</f>
        <v>-896.43</v>
      </c>
      <c r="V276" s="21" t="n">
        <f aca="false">IF(ISBLANK(Actuals!W96),-896.43*Escalation!$B$19,Actuals!W96)</f>
        <v>-896.43</v>
      </c>
      <c r="W276" s="21" t="n">
        <f aca="false">IF(ISBLANK(Actuals!X96),-896.43*Escalation!$B$20,Actuals!X96)</f>
        <v>-896.43</v>
      </c>
      <c r="X276" s="21" t="n">
        <f aca="false">IF(ISBLANK(Actuals!Y96),-896.43*Escalation!$B$21,Actuals!Y96)</f>
        <v>-896.43</v>
      </c>
      <c r="Y276" s="21" t="n">
        <f aca="false">IF(ISBLANK(Actuals!Z96),-896.43*Escalation!$B$22,Actuals!Z96)</f>
        <v>-896.43</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-914.3586</v>
      </c>
      <c r="AD276" s="21" t="n">
        <f aca="false">IF(ISBLANK(Actuals!AE96),-896.43*Escalation!$B$27,Actuals!AE96)</f>
        <v>-914.3586</v>
      </c>
      <c r="AE276" s="21" t="n">
        <f aca="false">IF(ISBLANK(Actuals!AF96),-896.43*Escalation!$B$28,Actuals!AF96)</f>
        <v>-914.3586</v>
      </c>
      <c r="AF276" s="21" t="n">
        <f aca="false">IF(ISBLANK(Actuals!AG96),-896.43*Escalation!$B$29,Actuals!AG96)</f>
        <v>-914.3586</v>
      </c>
      <c r="AG276" s="21" t="n">
        <f aca="false">IF(ISBLANK(Actuals!AH96),-896.43*Escalation!$B$30,Actuals!AH96)</f>
        <v>-914.3586</v>
      </c>
      <c r="AH276" s="21" t="n">
        <f aca="false">IF(ISBLANK(Actuals!AI96),-896.43*Escalation!$B$31,Actuals!AI96)</f>
        <v>-914.3586</v>
      </c>
      <c r="AI276" s="21" t="n">
        <f aca="false">IF(ISBLANK(Actuals!AJ96),-896.43*Escalation!$B$32,Actuals!AJ96)</f>
        <v>-914.3586</v>
      </c>
      <c r="AJ276" s="21" t="n">
        <f aca="false">IF(ISBLANK(Actuals!AK96),-896.43*Escalation!$B$33,Actuals!AK96)</f>
        <v>-914.3586</v>
      </c>
      <c r="AK276" s="21" t="n">
        <f aca="false">IF(ISBLANK(Actuals!AL96),-896.43*Escalation!$B$34,Actuals!AL96)</f>
        <v>-914.3586</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-932.645772</v>
      </c>
      <c r="AP276" s="21" t="n">
        <f aca="false">IF(ISBLANK(Actuals!AQ96),-896.43*Escalation!$B$39,Actuals!AQ96)</f>
        <v>-932.645772</v>
      </c>
      <c r="AQ276" s="21" t="n">
        <f aca="false">IF(ISBLANK(Actuals!AR96),-896.43*Escalation!$B$40,Actuals!AR96)</f>
        <v>-932.645772</v>
      </c>
      <c r="AR276" s="21" t="n">
        <f aca="false">IF(ISBLANK(Actuals!AS96),-896.43*Escalation!$B$41,Actuals!AS96)</f>
        <v>-932.645772</v>
      </c>
      <c r="AS276" s="21" t="n">
        <f aca="false">IF(ISBLANK(Actuals!AT96),-896.43*Escalation!$B$42,Actuals!AT96)</f>
        <v>-932.645772</v>
      </c>
      <c r="AT276" s="21" t="n">
        <f aca="false">IF(ISBLANK(Actuals!AU96),-896.43*Escalation!$B$43,Actuals!AU96)</f>
        <v>-932.645772</v>
      </c>
      <c r="AU276" s="21" t="n">
        <f aca="false">IF(ISBLANK(Actuals!AV96),-896.43*Escalation!$B$44,Actuals!AV96)</f>
        <v>-932.645772</v>
      </c>
      <c r="AV276" s="21" t="n">
        <f aca="false">IF(ISBLANK(Actuals!AW96),-896.43*Escalation!$B$45,Actuals!AW96)</f>
        <v>-932.645772</v>
      </c>
      <c r="AW276" s="21" t="n">
        <f aca="false">IF(ISBLANK(Actuals!AX96),-896.43*Escalation!$B$46,Actuals!AX96)</f>
        <v>-932.645772</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-951.29868744</v>
      </c>
      <c r="BB276" s="21" t="n">
        <f aca="false">IF(ISBLANK(Actuals!BC96),-896.43*Escalation!$B$51,Actuals!BC96)</f>
        <v>-951.29868744</v>
      </c>
      <c r="BC276" s="21" t="n">
        <f aca="false">IF(ISBLANK(Actuals!BD96),-896.43*Escalation!$B$52,Actuals!BD96)</f>
        <v>-951.29868744</v>
      </c>
      <c r="BD276" s="21" t="n">
        <f aca="false">IF(ISBLANK(Actuals!BE96),-896.43*Escalation!$B$53,Actuals!BE96)</f>
        <v>-951.29868744</v>
      </c>
      <c r="BE276" s="21" t="n">
        <f aca="false">IF(ISBLANK(Actuals!BF96),-896.43*Escalation!$B$54,Actuals!BF96)</f>
        <v>-951.29868744</v>
      </c>
      <c r="BF276" s="21" t="n">
        <f aca="false">IF(ISBLANK(Actuals!BG96),-896.43*Escalation!$B$55,Actuals!BG96)</f>
        <v>-951.29868744</v>
      </c>
      <c r="BG276" s="21" t="n">
        <f aca="false">IF(ISBLANK(Actuals!BH96),-896.43*Escalation!$B$56,Actuals!BH96)</f>
        <v>-951.29868744</v>
      </c>
      <c r="BH276" s="21" t="n">
        <f aca="false">IF(ISBLANK(Actuals!BI96),-896.43*Escalation!$B$57,Actuals!BI96)</f>
        <v>-951.29868744</v>
      </c>
      <c r="BI276" s="21" t="n">
        <f aca="false">IF(ISBLANK(Actuals!BJ96),-896.43*Escalation!$B$58,Actuals!BJ96)</f>
        <v>-951.29868744</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-970.3246611888</v>
      </c>
      <c r="BN276" s="21" t="n">
        <f aca="false">IF(ISBLANK(Actuals!BO96),-896.43*Escalation!$B$63,Actuals!BO96)</f>
        <v>-970.3246611888</v>
      </c>
      <c r="BO276" s="21" t="n">
        <f aca="false">IF(ISBLANK(Actuals!BP96),-896.43*Escalation!$B$64,Actuals!BP96)</f>
        <v>-970.3246611888</v>
      </c>
      <c r="BP276" s="21" t="n">
        <f aca="false">IF(ISBLANK(Actuals!BQ96),-896.43*Escalation!$B$65,Actuals!BQ96)</f>
        <v>-970.3246611888</v>
      </c>
      <c r="BQ276" s="21" t="n">
        <f aca="false">IF(ISBLANK(Actuals!BR96),-896.43*Escalation!$B$66,Actuals!BR96)</f>
        <v>-970.3246611888</v>
      </c>
      <c r="BR276" s="21" t="n">
        <f aca="false">IF(ISBLANK(Actuals!BS96),-896.43*Escalation!$B$67,Actuals!BS96)</f>
        <v>-970.3246611888</v>
      </c>
      <c r="BS276" s="21" t="n">
        <f aca="false">IF(ISBLANK(Actuals!BT96),-896.43*Escalation!$B$68,Actuals!BT96)</f>
        <v>-970.3246611888</v>
      </c>
      <c r="BT276" s="21" t="n">
        <f aca="false">IF(ISBLANK(Actuals!BU96),-896.43*Escalation!$B$69,Actuals!BU96)</f>
        <v>-970.3246611888</v>
      </c>
      <c r="BU276" s="21" t="n">
        <f aca="false">IF(ISBLANK(Actuals!BV96),-896.43*Escalation!$B$70,Actuals!BV96)</f>
        <v>-970.3246611888</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-989.731154412576</v>
      </c>
      <c r="BZ276" s="21" t="n">
        <f aca="false">IF(ISBLANK(Actuals!CA96),-896.43*Escalation!$B$75,Actuals!CA96)</f>
        <v>-989.731154412576</v>
      </c>
      <c r="CA276" s="21" t="n">
        <f aca="false">IF(ISBLANK(Actuals!CB96),-896.43*Escalation!$B$76,Actuals!CB96)</f>
        <v>-989.731154412576</v>
      </c>
      <c r="CB276" s="21" t="n">
        <f aca="false">IF(ISBLANK(Actuals!CC96),-896.43*Escalation!$B$77,Actuals!CC96)</f>
        <v>-989.731154412576</v>
      </c>
      <c r="CC276" s="21" t="n">
        <f aca="false">IF(ISBLANK(Actuals!CD96),-896.43*Escalation!$B$78,Actuals!CD96)</f>
        <v>-989.731154412576</v>
      </c>
      <c r="CD276" s="21" t="n">
        <f aca="false">IF(ISBLANK(Actuals!CE96),-896.43*Escalation!$B$79,Actuals!CE96)</f>
        <v>-989.731154412576</v>
      </c>
      <c r="CE276" s="21" t="n">
        <f aca="false">IF(ISBLANK(Actuals!CF96),-896.43*Escalation!$B$80,Actuals!CF96)</f>
        <v>-989.731154412576</v>
      </c>
      <c r="CF276" s="21" t="n">
        <f aca="false">IF(ISBLANK(Actuals!CG96),-896.43*Escalation!$B$81,Actuals!CG96)</f>
        <v>-989.731154412576</v>
      </c>
      <c r="CG276" s="21" t="n">
        <f aca="false">IF(ISBLANK(Actuals!CH96),-896.43*Escalation!$B$82,Actuals!CH96)</f>
        <v>-989.731154412576</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-1009.52577750083</v>
      </c>
      <c r="CL276" s="21" t="n">
        <f aca="false">IF(ISBLANK(Actuals!CM96),-896.43*Escalation!$B$87,Actuals!CM96)</f>
        <v>-1009.52577750083</v>
      </c>
      <c r="CM276" s="21" t="n">
        <f aca="false">IF(ISBLANK(Actuals!CN96),-896.43*Escalation!$B$88,Actuals!CN96)</f>
        <v>-1009.52577750083</v>
      </c>
      <c r="CN276" s="21" t="n">
        <f aca="false">IF(ISBLANK(Actuals!CO96),-896.43*Escalation!$B$89,Actuals!CO96)</f>
        <v>-1009.52577750083</v>
      </c>
      <c r="CO276" s="21" t="n">
        <f aca="false">IF(ISBLANK(Actuals!CP96),-896.43*Escalation!$B$90,Actuals!CP96)</f>
        <v>-1009.52577750083</v>
      </c>
      <c r="CP276" s="21" t="n">
        <f aca="false">IF(ISBLANK(Actuals!CQ96),-896.43*Escalation!$B$91,Actuals!CQ96)</f>
        <v>-1009.52577750083</v>
      </c>
      <c r="CQ276" s="21" t="n">
        <f aca="false">IF(ISBLANK(Actuals!CR96),-896.43*Escalation!$B$92,Actuals!CR96)</f>
        <v>-1009.52577750083</v>
      </c>
      <c r="CR276" s="21" t="n">
        <f aca="false">IF(ISBLANK(Actuals!CS96),-896.43*Escalation!$B$93,Actuals!CS96)</f>
        <v>-1009.52577750083</v>
      </c>
      <c r="CS276" s="21" t="n">
        <f aca="false">IF(ISBLANK(Actuals!CT96),-896.43*Escalation!$B$94,Actuals!CT96)</f>
        <v>-1009.52577750083</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-1029.71629305084</v>
      </c>
      <c r="CX276" s="21" t="n">
        <f aca="false">IF(ISBLANK(Actuals!CY96),-896.43*Escalation!$B$99,Actuals!CY96)</f>
        <v>-1029.71629305084</v>
      </c>
      <c r="CY276" s="21" t="n">
        <f aca="false">IF(ISBLANK(Actuals!CZ96),-896.43*Escalation!$B$100,Actuals!CZ96)</f>
        <v>-1029.71629305084</v>
      </c>
      <c r="CZ276" s="21" t="n">
        <f aca="false">IF(ISBLANK(Actuals!DA96),-896.43*Escalation!$B$101,Actuals!DA96)</f>
        <v>-1029.71629305084</v>
      </c>
      <c r="DA276" s="21" t="n">
        <f aca="false">IF(ISBLANK(Actuals!DB96),-896.43*Escalation!$B$102,Actuals!DB96)</f>
        <v>-1029.71629305084</v>
      </c>
      <c r="DB276" s="21" t="n">
        <f aca="false">IF(ISBLANK(Actuals!DC96),-896.43*Escalation!$B$103,Actuals!DC96)</f>
        <v>-1029.71629305084</v>
      </c>
      <c r="DC276" s="21" t="n">
        <f aca="false">IF(ISBLANK(Actuals!DD96),-896.43*Escalation!$B$104,Actuals!DD96)</f>
        <v>-1029.71629305084</v>
      </c>
      <c r="DD276" s="21" t="n">
        <f aca="false">IF(ISBLANK(Actuals!DE96),-896.43*Escalation!$B$105,Actuals!DE96)</f>
        <v>-1029.71629305084</v>
      </c>
      <c r="DE276" s="21" t="n">
        <f aca="false">IF(ISBLANK(Actuals!DF96),-896.43*Escalation!$B$106,Actuals!DF96)</f>
        <v>-1029.71629305084</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-3750</v>
      </c>
      <c r="R277" s="21" t="n">
        <f aca="false">IF(ISBLANK(Actuals!S97),-3750*Escalation!$B$15,Actuals!S97)</f>
        <v>-3750</v>
      </c>
      <c r="S277" s="21" t="n">
        <f aca="false">IF(ISBLANK(Actuals!T97),-3750*Escalation!$B$16,Actuals!T97)</f>
        <v>-3750</v>
      </c>
      <c r="T277" s="21" t="n">
        <f aca="false">IF(ISBLANK(Actuals!U97),-3750*Escalation!$B$17,Actuals!U97)</f>
        <v>-3750</v>
      </c>
      <c r="U277" s="21" t="n">
        <f aca="false">IF(ISBLANK(Actuals!V97),-3750*Escalation!$B$18,Actuals!V97)</f>
        <v>-3750</v>
      </c>
      <c r="V277" s="21" t="n">
        <f aca="false">IF(ISBLANK(Actuals!W97),-3750*Escalation!$B$19,Actuals!W97)</f>
        <v>-3750</v>
      </c>
      <c r="W277" s="21" t="n">
        <f aca="false">IF(ISBLANK(Actuals!X97),-3750*Escalation!$B$20,Actuals!X97)</f>
        <v>-3750</v>
      </c>
      <c r="X277" s="21" t="n">
        <f aca="false">IF(ISBLANK(Actuals!Y97),-3750*Escalation!$B$21,Actuals!Y97)</f>
        <v>-3750</v>
      </c>
      <c r="Y277" s="21" t="n">
        <f aca="false">IF(ISBLANK(Actuals!Z97),-3750*Escalation!$B$22,Actuals!Z97)</f>
        <v>-3750</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-3825</v>
      </c>
      <c r="AD277" s="21" t="n">
        <f aca="false">IF(ISBLANK(Actuals!AE97),-3750*Escalation!$B$27,Actuals!AE97)</f>
        <v>-3825</v>
      </c>
      <c r="AE277" s="21" t="n">
        <f aca="false">IF(ISBLANK(Actuals!AF97),-3750*Escalation!$B$28,Actuals!AF97)</f>
        <v>-3825</v>
      </c>
      <c r="AF277" s="21" t="n">
        <f aca="false">IF(ISBLANK(Actuals!AG97),-3750*Escalation!$B$29,Actuals!AG97)</f>
        <v>-3825</v>
      </c>
      <c r="AG277" s="21" t="n">
        <f aca="false">IF(ISBLANK(Actuals!AH97),-3750*Escalation!$B$30,Actuals!AH97)</f>
        <v>-3825</v>
      </c>
      <c r="AH277" s="21" t="n">
        <f aca="false">IF(ISBLANK(Actuals!AI97),-3750*Escalation!$B$31,Actuals!AI97)</f>
        <v>-3825</v>
      </c>
      <c r="AI277" s="21" t="n">
        <f aca="false">IF(ISBLANK(Actuals!AJ97),-3750*Escalation!$B$32,Actuals!AJ97)</f>
        <v>-3825</v>
      </c>
      <c r="AJ277" s="21" t="n">
        <f aca="false">IF(ISBLANK(Actuals!AK97),-3750*Escalation!$B$33,Actuals!AK97)</f>
        <v>-3825</v>
      </c>
      <c r="AK277" s="21" t="n">
        <f aca="false">IF(ISBLANK(Actuals!AL97),-3750*Escalation!$B$34,Actuals!AL97)</f>
        <v>-3825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-3901.5</v>
      </c>
      <c r="AP277" s="21" t="n">
        <f aca="false">IF(ISBLANK(Actuals!AQ97),-3750*Escalation!$B$39,Actuals!AQ97)</f>
        <v>-3901.5</v>
      </c>
      <c r="AQ277" s="21" t="n">
        <f aca="false">IF(ISBLANK(Actuals!AR97),-3750*Escalation!$B$40,Actuals!AR97)</f>
        <v>-3901.5</v>
      </c>
      <c r="AR277" s="21" t="n">
        <f aca="false">IF(ISBLANK(Actuals!AS97),-3750*Escalation!$B$41,Actuals!AS97)</f>
        <v>-3901.5</v>
      </c>
      <c r="AS277" s="21" t="n">
        <f aca="false">IF(ISBLANK(Actuals!AT97),-3750*Escalation!$B$42,Actuals!AT97)</f>
        <v>-3901.5</v>
      </c>
      <c r="AT277" s="21" t="n">
        <f aca="false">IF(ISBLANK(Actuals!AU97),-3750*Escalation!$B$43,Actuals!AU97)</f>
        <v>-3901.5</v>
      </c>
      <c r="AU277" s="21" t="n">
        <f aca="false">IF(ISBLANK(Actuals!AV97),-3750*Escalation!$B$44,Actuals!AV97)</f>
        <v>-3901.5</v>
      </c>
      <c r="AV277" s="21" t="n">
        <f aca="false">IF(ISBLANK(Actuals!AW97),-3750*Escalation!$B$45,Actuals!AW97)</f>
        <v>-3901.5</v>
      </c>
      <c r="AW277" s="21" t="n">
        <f aca="false">IF(ISBLANK(Actuals!AX97),-3750*Escalation!$B$46,Actuals!AX97)</f>
        <v>-3901.5</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-3979.53</v>
      </c>
      <c r="BB277" s="21" t="n">
        <f aca="false">IF(ISBLANK(Actuals!BC97),-3750*Escalation!$B$51,Actuals!BC97)</f>
        <v>-3979.53</v>
      </c>
      <c r="BC277" s="21" t="n">
        <f aca="false">IF(ISBLANK(Actuals!BD97),-3750*Escalation!$B$52,Actuals!BD97)</f>
        <v>-3979.53</v>
      </c>
      <c r="BD277" s="21" t="n">
        <f aca="false">IF(ISBLANK(Actuals!BE97),-3750*Escalation!$B$53,Actuals!BE97)</f>
        <v>-3979.53</v>
      </c>
      <c r="BE277" s="21" t="n">
        <f aca="false">IF(ISBLANK(Actuals!BF97),-3750*Escalation!$B$54,Actuals!BF97)</f>
        <v>-3979.53</v>
      </c>
      <c r="BF277" s="21" t="n">
        <f aca="false">IF(ISBLANK(Actuals!BG97),-3750*Escalation!$B$55,Actuals!BG97)</f>
        <v>-3979.53</v>
      </c>
      <c r="BG277" s="21" t="n">
        <f aca="false">IF(ISBLANK(Actuals!BH97),-3750*Escalation!$B$56,Actuals!BH97)</f>
        <v>-3979.53</v>
      </c>
      <c r="BH277" s="21" t="n">
        <f aca="false">IF(ISBLANK(Actuals!BI97),-3750*Escalation!$B$57,Actuals!BI97)</f>
        <v>-3979.53</v>
      </c>
      <c r="BI277" s="21" t="n">
        <f aca="false">IF(ISBLANK(Actuals!BJ97),-3750*Escalation!$B$58,Actuals!BJ97)</f>
        <v>-3979.53</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-4059.1206</v>
      </c>
      <c r="BN277" s="21" t="n">
        <f aca="false">IF(ISBLANK(Actuals!BO97),-3750*Escalation!$B$63,Actuals!BO97)</f>
        <v>-4059.1206</v>
      </c>
      <c r="BO277" s="21" t="n">
        <f aca="false">IF(ISBLANK(Actuals!BP97),-3750*Escalation!$B$64,Actuals!BP97)</f>
        <v>-4059.1206</v>
      </c>
      <c r="BP277" s="21" t="n">
        <f aca="false">IF(ISBLANK(Actuals!BQ97),-3750*Escalation!$B$65,Actuals!BQ97)</f>
        <v>-4059.1206</v>
      </c>
      <c r="BQ277" s="21" t="n">
        <f aca="false">IF(ISBLANK(Actuals!BR97),-3750*Escalation!$B$66,Actuals!BR97)</f>
        <v>-4059.1206</v>
      </c>
      <c r="BR277" s="21" t="n">
        <f aca="false">IF(ISBLANK(Actuals!BS97),-3750*Escalation!$B$67,Actuals!BS97)</f>
        <v>-4059.1206</v>
      </c>
      <c r="BS277" s="21" t="n">
        <f aca="false">IF(ISBLANK(Actuals!BT97),-3750*Escalation!$B$68,Actuals!BT97)</f>
        <v>-4059.1206</v>
      </c>
      <c r="BT277" s="21" t="n">
        <f aca="false">IF(ISBLANK(Actuals!BU97),-3750*Escalation!$B$69,Actuals!BU97)</f>
        <v>-4059.1206</v>
      </c>
      <c r="BU277" s="21" t="n">
        <f aca="false">IF(ISBLANK(Actuals!BV97),-3750*Escalation!$B$70,Actuals!BV97)</f>
        <v>-4059.1206</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-4140.303012</v>
      </c>
      <c r="BZ277" s="21" t="n">
        <f aca="false">IF(ISBLANK(Actuals!CA97),-3750*Escalation!$B$75,Actuals!CA97)</f>
        <v>-4140.303012</v>
      </c>
      <c r="CA277" s="21" t="n">
        <f aca="false">IF(ISBLANK(Actuals!CB97),-3750*Escalation!$B$76,Actuals!CB97)</f>
        <v>-4140.303012</v>
      </c>
      <c r="CB277" s="21" t="n">
        <f aca="false">IF(ISBLANK(Actuals!CC97),-3750*Escalation!$B$77,Actuals!CC97)</f>
        <v>-4140.303012</v>
      </c>
      <c r="CC277" s="21" t="n">
        <f aca="false">IF(ISBLANK(Actuals!CD97),-3750*Escalation!$B$78,Actuals!CD97)</f>
        <v>-4140.303012</v>
      </c>
      <c r="CD277" s="21" t="n">
        <f aca="false">IF(ISBLANK(Actuals!CE97),-3750*Escalation!$B$79,Actuals!CE97)</f>
        <v>-4140.303012</v>
      </c>
      <c r="CE277" s="21" t="n">
        <f aca="false">IF(ISBLANK(Actuals!CF97),-3750*Escalation!$B$80,Actuals!CF97)</f>
        <v>-4140.303012</v>
      </c>
      <c r="CF277" s="21" t="n">
        <f aca="false">IF(ISBLANK(Actuals!CG97),-3750*Escalation!$B$81,Actuals!CG97)</f>
        <v>-4140.303012</v>
      </c>
      <c r="CG277" s="21" t="n">
        <f aca="false">IF(ISBLANK(Actuals!CH97),-3750*Escalation!$B$82,Actuals!CH97)</f>
        <v>-4140.303012</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-4223.10907224</v>
      </c>
      <c r="CL277" s="21" t="n">
        <f aca="false">IF(ISBLANK(Actuals!CM97),-3750*Escalation!$B$87,Actuals!CM97)</f>
        <v>-4223.10907224</v>
      </c>
      <c r="CM277" s="21" t="n">
        <f aca="false">IF(ISBLANK(Actuals!CN97),-3750*Escalation!$B$88,Actuals!CN97)</f>
        <v>-4223.10907224</v>
      </c>
      <c r="CN277" s="21" t="n">
        <f aca="false">IF(ISBLANK(Actuals!CO97),-3750*Escalation!$B$89,Actuals!CO97)</f>
        <v>-4223.10907224</v>
      </c>
      <c r="CO277" s="21" t="n">
        <f aca="false">IF(ISBLANK(Actuals!CP97),-3750*Escalation!$B$90,Actuals!CP97)</f>
        <v>-4223.10907224</v>
      </c>
      <c r="CP277" s="21" t="n">
        <f aca="false">IF(ISBLANK(Actuals!CQ97),-3750*Escalation!$B$91,Actuals!CQ97)</f>
        <v>-4223.10907224</v>
      </c>
      <c r="CQ277" s="21" t="n">
        <f aca="false">IF(ISBLANK(Actuals!CR97),-3750*Escalation!$B$92,Actuals!CR97)</f>
        <v>-4223.10907224</v>
      </c>
      <c r="CR277" s="21" t="n">
        <f aca="false">IF(ISBLANK(Actuals!CS97),-3750*Escalation!$B$93,Actuals!CS97)</f>
        <v>-4223.10907224</v>
      </c>
      <c r="CS277" s="21" t="n">
        <f aca="false">IF(ISBLANK(Actuals!CT97),-3750*Escalation!$B$94,Actuals!CT97)</f>
        <v>-4223.10907224</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-4307.5712536848</v>
      </c>
      <c r="CX277" s="21" t="n">
        <f aca="false">IF(ISBLANK(Actuals!CY97),-3750*Escalation!$B$99,Actuals!CY97)</f>
        <v>-4307.5712536848</v>
      </c>
      <c r="CY277" s="21" t="n">
        <f aca="false">IF(ISBLANK(Actuals!CZ97),-3750*Escalation!$B$100,Actuals!CZ97)</f>
        <v>-4307.5712536848</v>
      </c>
      <c r="CZ277" s="21" t="n">
        <f aca="false">IF(ISBLANK(Actuals!DA97),-3750*Escalation!$B$101,Actuals!DA97)</f>
        <v>-4307.5712536848</v>
      </c>
      <c r="DA277" s="21" t="n">
        <f aca="false">IF(ISBLANK(Actuals!DB97),-3750*Escalation!$B$102,Actuals!DB97)</f>
        <v>-4307.5712536848</v>
      </c>
      <c r="DB277" s="21" t="n">
        <f aca="false">IF(ISBLANK(Actuals!DC97),-3750*Escalation!$B$103,Actuals!DC97)</f>
        <v>-4307.5712536848</v>
      </c>
      <c r="DC277" s="21" t="n">
        <f aca="false">IF(ISBLANK(Actuals!DD97),-3750*Escalation!$B$104,Actuals!DD97)</f>
        <v>-4307.5712536848</v>
      </c>
      <c r="DD277" s="21" t="n">
        <f aca="false">IF(ISBLANK(Actuals!DE97),-3750*Escalation!$B$105,Actuals!DE97)</f>
        <v>-4307.5712536848</v>
      </c>
      <c r="DE277" s="21" t="n">
        <f aca="false">IF(ISBLANK(Actuals!DF97),-3750*Escalation!$B$106,Actuals!DF97)</f>
        <v>-4307.5712536848</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-2675.39</v>
      </c>
      <c r="R278" s="21" t="n">
        <f aca="false">IF(ISBLANK(Actuals!S98),-2675.39*Escalation!$B$15,Actuals!S98)</f>
        <v>-2675.39</v>
      </c>
      <c r="S278" s="21" t="n">
        <f aca="false">IF(ISBLANK(Actuals!T98),-2675.39*Escalation!$B$16,Actuals!T98)</f>
        <v>-2675.39</v>
      </c>
      <c r="T278" s="21" t="n">
        <f aca="false">IF(ISBLANK(Actuals!U98),-2675.39*Escalation!$B$17,Actuals!U98)</f>
        <v>-2675.39</v>
      </c>
      <c r="U278" s="21" t="n">
        <f aca="false">IF(ISBLANK(Actuals!V98),-2675.39*Escalation!$B$18,Actuals!V98)</f>
        <v>-2675.39</v>
      </c>
      <c r="V278" s="21" t="n">
        <f aca="false">IF(ISBLANK(Actuals!W98),-2675.39*Escalation!$B$19,Actuals!W98)</f>
        <v>-2675.39</v>
      </c>
      <c r="W278" s="21" t="n">
        <f aca="false">IF(ISBLANK(Actuals!X98),-2675.39*Escalation!$B$20,Actuals!X98)</f>
        <v>-2675.39</v>
      </c>
      <c r="X278" s="21" t="n">
        <f aca="false">IF(ISBLANK(Actuals!Y98),-2675.39*Escalation!$B$21,Actuals!Y98)</f>
        <v>-2675.39</v>
      </c>
      <c r="Y278" s="21" t="n">
        <f aca="false">IF(ISBLANK(Actuals!Z98),-2675.39*Escalation!$B$22,Actuals!Z98)</f>
        <v>-2675.39</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-2728.8978</v>
      </c>
      <c r="AD278" s="21" t="n">
        <f aca="false">IF(ISBLANK(Actuals!AE98),-2675.39*Escalation!$B$27,Actuals!AE98)</f>
        <v>-2728.8978</v>
      </c>
      <c r="AE278" s="21" t="n">
        <f aca="false">IF(ISBLANK(Actuals!AF98),-2675.39*Escalation!$B$28,Actuals!AF98)</f>
        <v>-2728.8978</v>
      </c>
      <c r="AF278" s="21" t="n">
        <f aca="false">IF(ISBLANK(Actuals!AG98),-2675.39*Escalation!$B$29,Actuals!AG98)</f>
        <v>-2728.8978</v>
      </c>
      <c r="AG278" s="21" t="n">
        <f aca="false">IF(ISBLANK(Actuals!AH98),-2675.39*Escalation!$B$30,Actuals!AH98)</f>
        <v>-2728.8978</v>
      </c>
      <c r="AH278" s="21" t="n">
        <f aca="false">IF(ISBLANK(Actuals!AI98),-2675.39*Escalation!$B$31,Actuals!AI98)</f>
        <v>-2728.8978</v>
      </c>
      <c r="AI278" s="21" t="n">
        <f aca="false">IF(ISBLANK(Actuals!AJ98),-2675.39*Escalation!$B$32,Actuals!AJ98)</f>
        <v>-2728.8978</v>
      </c>
      <c r="AJ278" s="21" t="n">
        <f aca="false">IF(ISBLANK(Actuals!AK98),-2675.39*Escalation!$B$33,Actuals!AK98)</f>
        <v>-2728.8978</v>
      </c>
      <c r="AK278" s="21" t="n">
        <f aca="false">IF(ISBLANK(Actuals!AL98),-2675.39*Escalation!$B$34,Actuals!AL98)</f>
        <v>-2728.8978</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-2783.475756</v>
      </c>
      <c r="AP278" s="21" t="n">
        <f aca="false">IF(ISBLANK(Actuals!AQ98),-2675.39*Escalation!$B$39,Actuals!AQ98)</f>
        <v>-2783.475756</v>
      </c>
      <c r="AQ278" s="21" t="n">
        <f aca="false">IF(ISBLANK(Actuals!AR98),-2675.39*Escalation!$B$40,Actuals!AR98)</f>
        <v>-2783.475756</v>
      </c>
      <c r="AR278" s="21" t="n">
        <f aca="false">IF(ISBLANK(Actuals!AS98),-2675.39*Escalation!$B$41,Actuals!AS98)</f>
        <v>-2783.475756</v>
      </c>
      <c r="AS278" s="21" t="n">
        <f aca="false">IF(ISBLANK(Actuals!AT98),-2675.39*Escalation!$B$42,Actuals!AT98)</f>
        <v>-2783.475756</v>
      </c>
      <c r="AT278" s="21" t="n">
        <f aca="false">IF(ISBLANK(Actuals!AU98),-2675.39*Escalation!$B$43,Actuals!AU98)</f>
        <v>-2783.475756</v>
      </c>
      <c r="AU278" s="21" t="n">
        <f aca="false">IF(ISBLANK(Actuals!AV98),-2675.39*Escalation!$B$44,Actuals!AV98)</f>
        <v>-2783.475756</v>
      </c>
      <c r="AV278" s="21" t="n">
        <f aca="false">IF(ISBLANK(Actuals!AW98),-2675.39*Escalation!$B$45,Actuals!AW98)</f>
        <v>-2783.475756</v>
      </c>
      <c r="AW278" s="21" t="n">
        <f aca="false">IF(ISBLANK(Actuals!AX98),-2675.39*Escalation!$B$46,Actuals!AX98)</f>
        <v>-2783.475756</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-2839.14527112</v>
      </c>
      <c r="BB278" s="21" t="n">
        <f aca="false">IF(ISBLANK(Actuals!BC98),-2675.39*Escalation!$B$51,Actuals!BC98)</f>
        <v>-2839.14527112</v>
      </c>
      <c r="BC278" s="21" t="n">
        <f aca="false">IF(ISBLANK(Actuals!BD98),-2675.39*Escalation!$B$52,Actuals!BD98)</f>
        <v>-2839.14527112</v>
      </c>
      <c r="BD278" s="21" t="n">
        <f aca="false">IF(ISBLANK(Actuals!BE98),-2675.39*Escalation!$B$53,Actuals!BE98)</f>
        <v>-2839.14527112</v>
      </c>
      <c r="BE278" s="21" t="n">
        <f aca="false">IF(ISBLANK(Actuals!BF98),-2675.39*Escalation!$B$54,Actuals!BF98)</f>
        <v>-2839.14527112</v>
      </c>
      <c r="BF278" s="21" t="n">
        <f aca="false">IF(ISBLANK(Actuals!BG98),-2675.39*Escalation!$B$55,Actuals!BG98)</f>
        <v>-2839.14527112</v>
      </c>
      <c r="BG278" s="21" t="n">
        <f aca="false">IF(ISBLANK(Actuals!BH98),-2675.39*Escalation!$B$56,Actuals!BH98)</f>
        <v>-2839.14527112</v>
      </c>
      <c r="BH278" s="21" t="n">
        <f aca="false">IF(ISBLANK(Actuals!BI98),-2675.39*Escalation!$B$57,Actuals!BI98)</f>
        <v>-2839.14527112</v>
      </c>
      <c r="BI278" s="21" t="n">
        <f aca="false">IF(ISBLANK(Actuals!BJ98),-2675.39*Escalation!$B$58,Actuals!BJ98)</f>
        <v>-2839.14527112</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-2895.9281765424</v>
      </c>
      <c r="BN278" s="21" t="n">
        <f aca="false">IF(ISBLANK(Actuals!BO98),-2675.39*Escalation!$B$63,Actuals!BO98)</f>
        <v>-2895.9281765424</v>
      </c>
      <c r="BO278" s="21" t="n">
        <f aca="false">IF(ISBLANK(Actuals!BP98),-2675.39*Escalation!$B$64,Actuals!BP98)</f>
        <v>-2895.9281765424</v>
      </c>
      <c r="BP278" s="21" t="n">
        <f aca="false">IF(ISBLANK(Actuals!BQ98),-2675.39*Escalation!$B$65,Actuals!BQ98)</f>
        <v>-2895.9281765424</v>
      </c>
      <c r="BQ278" s="21" t="n">
        <f aca="false">IF(ISBLANK(Actuals!BR98),-2675.39*Escalation!$B$66,Actuals!BR98)</f>
        <v>-2895.9281765424</v>
      </c>
      <c r="BR278" s="21" t="n">
        <f aca="false">IF(ISBLANK(Actuals!BS98),-2675.39*Escalation!$B$67,Actuals!BS98)</f>
        <v>-2895.9281765424</v>
      </c>
      <c r="BS278" s="21" t="n">
        <f aca="false">IF(ISBLANK(Actuals!BT98),-2675.39*Escalation!$B$68,Actuals!BT98)</f>
        <v>-2895.9281765424</v>
      </c>
      <c r="BT278" s="21" t="n">
        <f aca="false">IF(ISBLANK(Actuals!BU98),-2675.39*Escalation!$B$69,Actuals!BU98)</f>
        <v>-2895.9281765424</v>
      </c>
      <c r="BU278" s="21" t="n">
        <f aca="false">IF(ISBLANK(Actuals!BV98),-2675.39*Escalation!$B$70,Actuals!BV98)</f>
        <v>-2895.9281765424</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-2953.84674007325</v>
      </c>
      <c r="BZ278" s="21" t="n">
        <f aca="false">IF(ISBLANK(Actuals!CA98),-2675.39*Escalation!$B$75,Actuals!CA98)</f>
        <v>-2953.84674007325</v>
      </c>
      <c r="CA278" s="21" t="n">
        <f aca="false">IF(ISBLANK(Actuals!CB98),-2675.39*Escalation!$B$76,Actuals!CB98)</f>
        <v>-2953.84674007325</v>
      </c>
      <c r="CB278" s="21" t="n">
        <f aca="false">IF(ISBLANK(Actuals!CC98),-2675.39*Escalation!$B$77,Actuals!CC98)</f>
        <v>-2953.84674007325</v>
      </c>
      <c r="CC278" s="21" t="n">
        <f aca="false">IF(ISBLANK(Actuals!CD98),-2675.39*Escalation!$B$78,Actuals!CD98)</f>
        <v>-2953.84674007325</v>
      </c>
      <c r="CD278" s="21" t="n">
        <f aca="false">IF(ISBLANK(Actuals!CE98),-2675.39*Escalation!$B$79,Actuals!CE98)</f>
        <v>-2953.84674007325</v>
      </c>
      <c r="CE278" s="21" t="n">
        <f aca="false">IF(ISBLANK(Actuals!CF98),-2675.39*Escalation!$B$80,Actuals!CF98)</f>
        <v>-2953.84674007325</v>
      </c>
      <c r="CF278" s="21" t="n">
        <f aca="false">IF(ISBLANK(Actuals!CG98),-2675.39*Escalation!$B$81,Actuals!CG98)</f>
        <v>-2953.84674007325</v>
      </c>
      <c r="CG278" s="21" t="n">
        <f aca="false">IF(ISBLANK(Actuals!CH98),-2675.39*Escalation!$B$82,Actuals!CH98)</f>
        <v>-2953.84674007325</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-3012.92367487471</v>
      </c>
      <c r="CL278" s="21" t="n">
        <f aca="false">IF(ISBLANK(Actuals!CM98),-2675.39*Escalation!$B$87,Actuals!CM98)</f>
        <v>-3012.92367487471</v>
      </c>
      <c r="CM278" s="21" t="n">
        <f aca="false">IF(ISBLANK(Actuals!CN98),-2675.39*Escalation!$B$88,Actuals!CN98)</f>
        <v>-3012.92367487471</v>
      </c>
      <c r="CN278" s="21" t="n">
        <f aca="false">IF(ISBLANK(Actuals!CO98),-2675.39*Escalation!$B$89,Actuals!CO98)</f>
        <v>-3012.92367487471</v>
      </c>
      <c r="CO278" s="21" t="n">
        <f aca="false">IF(ISBLANK(Actuals!CP98),-2675.39*Escalation!$B$90,Actuals!CP98)</f>
        <v>-3012.92367487471</v>
      </c>
      <c r="CP278" s="21" t="n">
        <f aca="false">IF(ISBLANK(Actuals!CQ98),-2675.39*Escalation!$B$91,Actuals!CQ98)</f>
        <v>-3012.92367487471</v>
      </c>
      <c r="CQ278" s="21" t="n">
        <f aca="false">IF(ISBLANK(Actuals!CR98),-2675.39*Escalation!$B$92,Actuals!CR98)</f>
        <v>-3012.92367487471</v>
      </c>
      <c r="CR278" s="21" t="n">
        <f aca="false">IF(ISBLANK(Actuals!CS98),-2675.39*Escalation!$B$93,Actuals!CS98)</f>
        <v>-3012.92367487471</v>
      </c>
      <c r="CS278" s="21" t="n">
        <f aca="false">IF(ISBLANK(Actuals!CT98),-2675.39*Escalation!$B$94,Actuals!CT98)</f>
        <v>-3012.92367487471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-3073.18214837221</v>
      </c>
      <c r="CX278" s="21" t="n">
        <f aca="false">IF(ISBLANK(Actuals!CY98),-2675.39*Escalation!$B$99,Actuals!CY98)</f>
        <v>-3073.18214837221</v>
      </c>
      <c r="CY278" s="21" t="n">
        <f aca="false">IF(ISBLANK(Actuals!CZ98),-2675.39*Escalation!$B$100,Actuals!CZ98)</f>
        <v>-3073.18214837221</v>
      </c>
      <c r="CZ278" s="21" t="n">
        <f aca="false">IF(ISBLANK(Actuals!DA98),-2675.39*Escalation!$B$101,Actuals!DA98)</f>
        <v>-3073.18214837221</v>
      </c>
      <c r="DA278" s="21" t="n">
        <f aca="false">IF(ISBLANK(Actuals!DB98),-2675.39*Escalation!$B$102,Actuals!DB98)</f>
        <v>-3073.18214837221</v>
      </c>
      <c r="DB278" s="21" t="n">
        <f aca="false">IF(ISBLANK(Actuals!DC98),-2675.39*Escalation!$B$103,Actuals!DC98)</f>
        <v>-3073.18214837221</v>
      </c>
      <c r="DC278" s="21" t="n">
        <f aca="false">IF(ISBLANK(Actuals!DD98),-2675.39*Escalation!$B$104,Actuals!DD98)</f>
        <v>-3073.18214837221</v>
      </c>
      <c r="DD278" s="21" t="n">
        <f aca="false">IF(ISBLANK(Actuals!DE98),-2675.39*Escalation!$B$105,Actuals!DE98)</f>
        <v>-3073.18214837221</v>
      </c>
      <c r="DE278" s="21" t="n">
        <f aca="false">IF(ISBLANK(Actuals!DF98),-2675.39*Escalation!$B$106,Actuals!DF98)</f>
        <v>-3073.18214837221</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-28083.3333333333</v>
      </c>
      <c r="R279" s="21" t="n">
        <f aca="false">IF(ISBLANK(Actuals!S99),(-(SUMPRODUCT((Personnel!$O$9:$O$100="SP-Prof")*(Personnel!$G$9:$G$100="Yes")*(14&gt;=Personnel!$E$9:$E$100)*((Personnel!$K$9:$K$100="")+(14&lt;=Personnel!$K$9:$K$100)&gt;0)*Personnel!$D$9:$D$100*(1-Personnel!$I$9:$I$100))))*Escalation!$B$15,Actuals!S99)</f>
        <v>-28083.3333333333</v>
      </c>
      <c r="S279" s="21" t="n">
        <f aca="false">IF(ISBLANK(Actuals!T99),(-(SUMPRODUCT((Personnel!$O$9:$O$100="SP-Prof")*(Personnel!$G$9:$G$100="Yes")*(15&gt;=Personnel!$E$9:$E$100)*((Personnel!$K$9:$K$100="")+(15&lt;=Personnel!$K$9:$K$100)&gt;0)*Personnel!$D$9:$D$100*(1-Personnel!$I$9:$I$100))))*Escalation!$B$16,Actuals!T99)</f>
        <v>-28083.3333333333</v>
      </c>
      <c r="T279" s="21" t="n">
        <f aca="false">IF(ISBLANK(Actuals!U99),(-(SUMPRODUCT((Personnel!$O$9:$O$100="SP-Prof")*(Personnel!$G$9:$G$100="Yes")*(16&gt;=Personnel!$E$9:$E$100)*((Personnel!$K$9:$K$100="")+(16&lt;=Personnel!$K$9:$K$100)&gt;0)*Personnel!$D$9:$D$100*(1-Personnel!$I$9:$I$100))))*Escalation!$B$17,Actuals!U99)</f>
        <v>-28083.3333333333</v>
      </c>
      <c r="U279" s="21" t="n">
        <f aca="false">IF(ISBLANK(Actuals!V99),(-(SUMPRODUCT((Personnel!$O$9:$O$100="SP-Prof")*(Personnel!$G$9:$G$100="Yes")*(17&gt;=Personnel!$E$9:$E$100)*((Personnel!$K$9:$K$100="")+(17&lt;=Personnel!$K$9:$K$100)&gt;0)*Personnel!$D$9:$D$100*(1-Personnel!$I$9:$I$100))))*Escalation!$B$18,Actuals!V99)</f>
        <v>-28083.3333333333</v>
      </c>
      <c r="V279" s="21" t="n">
        <f aca="false">IF(ISBLANK(Actuals!W99),(-(SUMPRODUCT((Personnel!$O$9:$O$100="SP-Prof")*(Personnel!$G$9:$G$100="Yes")*(18&gt;=Personnel!$E$9:$E$100)*((Personnel!$K$9:$K$100="")+(18&lt;=Personnel!$K$9:$K$100)&gt;0)*Personnel!$D$9:$D$100*(1-Personnel!$I$9:$I$100))))*Escalation!$B$19,Actuals!W99)</f>
        <v>-28083.3333333333</v>
      </c>
      <c r="W279" s="21" t="n">
        <f aca="false">IF(ISBLANK(Actuals!X99),(-(SUMPRODUCT((Personnel!$O$9:$O$100="SP-Prof")*(Personnel!$G$9:$G$100="Yes")*(19&gt;=Personnel!$E$9:$E$100)*((Personnel!$K$9:$K$100="")+(19&lt;=Personnel!$K$9:$K$100)&gt;0)*Personnel!$D$9:$D$100*(1-Personnel!$I$9:$I$100))))*Escalation!$B$20,Actuals!X99)</f>
        <v>-28083.3333333333</v>
      </c>
      <c r="X279" s="21" t="n">
        <f aca="false">IF(ISBLANK(Actuals!Y99),(-(SUMPRODUCT((Personnel!$O$9:$O$100="SP-Prof")*(Personnel!$G$9:$G$100="Yes")*(20&gt;=Personnel!$E$9:$E$100)*((Personnel!$K$9:$K$100="")+(20&lt;=Personnel!$K$9:$K$100)&gt;0)*Personnel!$D$9:$D$100*(1-Personnel!$I$9:$I$100))))*Escalation!$B$21,Actuals!Y99)</f>
        <v>-28083.3333333333</v>
      </c>
      <c r="Y279" s="21" t="n">
        <f aca="false">IF(ISBLANK(Actuals!Z99),(-(SUMPRODUCT((Personnel!$O$9:$O$100="SP-Prof")*(Personnel!$G$9:$G$100="Yes")*(21&gt;=Personnel!$E$9:$E$100)*((Personnel!$K$9:$K$100="")+(21&lt;=Personnel!$K$9:$K$100)&gt;0)*Personnel!$D$9:$D$100*(1-Personnel!$I$9:$I$100))))*Escalation!$B$22,Actuals!Z99)</f>
        <v>-28083.3333333333</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-28645</v>
      </c>
      <c r="AD279" s="21" t="n">
        <f aca="false">IF(ISBLANK(Actuals!AE99),(-(SUMPRODUCT((Personnel!$O$9:$O$100="SP-Prof")*(Personnel!$G$9:$G$100="Yes")*(26&gt;=Personnel!$E$9:$E$100)*((Personnel!$K$9:$K$100="")+(26&lt;=Personnel!$K$9:$K$100)&gt;0)*Personnel!$D$9:$D$100*(1-Personnel!$I$9:$I$100))))*Escalation!$B$27,Actuals!AE99)</f>
        <v>-28645</v>
      </c>
      <c r="AE279" s="21" t="n">
        <f aca="false">IF(ISBLANK(Actuals!AF99),(-(SUMPRODUCT((Personnel!$O$9:$O$100="SP-Prof")*(Personnel!$G$9:$G$100="Yes")*(27&gt;=Personnel!$E$9:$E$100)*((Personnel!$K$9:$K$100="")+(27&lt;=Personnel!$K$9:$K$100)&gt;0)*Personnel!$D$9:$D$100*(1-Personnel!$I$9:$I$100))))*Escalation!$B$28,Actuals!AF99)</f>
        <v>-28645</v>
      </c>
      <c r="AF279" s="21" t="n">
        <f aca="false">IF(ISBLANK(Actuals!AG99),(-(SUMPRODUCT((Personnel!$O$9:$O$100="SP-Prof")*(Personnel!$G$9:$G$100="Yes")*(28&gt;=Personnel!$E$9:$E$100)*((Personnel!$K$9:$K$100="")+(28&lt;=Personnel!$K$9:$K$100)&gt;0)*Personnel!$D$9:$D$100*(1-Personnel!$I$9:$I$100))))*Escalation!$B$29,Actuals!AG99)</f>
        <v>-28645</v>
      </c>
      <c r="AG279" s="21" t="n">
        <f aca="false">IF(ISBLANK(Actuals!AH99),(-(SUMPRODUCT((Personnel!$O$9:$O$100="SP-Prof")*(Personnel!$G$9:$G$100="Yes")*(29&gt;=Personnel!$E$9:$E$100)*((Personnel!$K$9:$K$100="")+(29&lt;=Personnel!$K$9:$K$100)&gt;0)*Personnel!$D$9:$D$100*(1-Personnel!$I$9:$I$100))))*Escalation!$B$30,Actuals!AH99)</f>
        <v>-28645</v>
      </c>
      <c r="AH279" s="21" t="n">
        <f aca="false">IF(ISBLANK(Actuals!AI99),(-(SUMPRODUCT((Personnel!$O$9:$O$100="SP-Prof")*(Personnel!$G$9:$G$100="Yes")*(30&gt;=Personnel!$E$9:$E$100)*((Personnel!$K$9:$K$100="")+(30&lt;=Personnel!$K$9:$K$100)&gt;0)*Personnel!$D$9:$D$100*(1-Personnel!$I$9:$I$100))))*Escalation!$B$31,Actuals!AI99)</f>
        <v>-28645</v>
      </c>
      <c r="AI279" s="21" t="n">
        <f aca="false">IF(ISBLANK(Actuals!AJ99),(-(SUMPRODUCT((Personnel!$O$9:$O$100="SP-Prof")*(Personnel!$G$9:$G$100="Yes")*(31&gt;=Personnel!$E$9:$E$100)*((Personnel!$K$9:$K$100="")+(31&lt;=Personnel!$K$9:$K$100)&gt;0)*Personnel!$D$9:$D$100*(1-Personnel!$I$9:$I$100))))*Escalation!$B$32,Actuals!AJ99)</f>
        <v>-28645</v>
      </c>
      <c r="AJ279" s="21" t="n">
        <f aca="false">IF(ISBLANK(Actuals!AK99),(-(SUMPRODUCT((Personnel!$O$9:$O$100="SP-Prof")*(Personnel!$G$9:$G$100="Yes")*(32&gt;=Personnel!$E$9:$E$100)*((Personnel!$K$9:$K$100="")+(32&lt;=Personnel!$K$9:$K$100)&gt;0)*Personnel!$D$9:$D$100*(1-Personnel!$I$9:$I$100))))*Escalation!$B$33,Actuals!AK99)</f>
        <v>-28645</v>
      </c>
      <c r="AK279" s="21" t="n">
        <f aca="false">IF(ISBLANK(Actuals!AL99),(-(SUMPRODUCT((Personnel!$O$9:$O$100="SP-Prof")*(Personnel!$G$9:$G$100="Yes")*(33&gt;=Personnel!$E$9:$E$100)*((Personnel!$K$9:$K$100="")+(33&lt;=Personnel!$K$9:$K$100)&gt;0)*Personnel!$D$9:$D$100*(1-Personnel!$I$9:$I$100))))*Escalation!$B$34,Actuals!AL99)</f>
        <v>-28645</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-29217.9</v>
      </c>
      <c r="AP279" s="21" t="n">
        <f aca="false">IF(ISBLANK(Actuals!AQ99),(-(SUMPRODUCT((Personnel!$O$9:$O$100="SP-Prof")*(Personnel!$G$9:$G$100="Yes")*(38&gt;=Personnel!$E$9:$E$100)*((Personnel!$K$9:$K$100="")+(38&lt;=Personnel!$K$9:$K$100)&gt;0)*Personnel!$D$9:$D$100*(1-Personnel!$I$9:$I$100))))*Escalation!$B$39,Actuals!AQ99)</f>
        <v>-29217.9</v>
      </c>
      <c r="AQ279" s="21" t="n">
        <f aca="false">IF(ISBLANK(Actuals!AR99),(-(SUMPRODUCT((Personnel!$O$9:$O$100="SP-Prof")*(Personnel!$G$9:$G$100="Yes")*(39&gt;=Personnel!$E$9:$E$100)*((Personnel!$K$9:$K$100="")+(39&lt;=Personnel!$K$9:$K$100)&gt;0)*Personnel!$D$9:$D$100*(1-Personnel!$I$9:$I$100))))*Escalation!$B$40,Actuals!AR99)</f>
        <v>-29217.9</v>
      </c>
      <c r="AR279" s="21" t="n">
        <f aca="false">IF(ISBLANK(Actuals!AS99),(-(SUMPRODUCT((Personnel!$O$9:$O$100="SP-Prof")*(Personnel!$G$9:$G$100="Yes")*(40&gt;=Personnel!$E$9:$E$100)*((Personnel!$K$9:$K$100="")+(40&lt;=Personnel!$K$9:$K$100)&gt;0)*Personnel!$D$9:$D$100*(1-Personnel!$I$9:$I$100))))*Escalation!$B$41,Actuals!AS99)</f>
        <v>-29217.9</v>
      </c>
      <c r="AS279" s="21" t="n">
        <f aca="false">IF(ISBLANK(Actuals!AT99),(-(SUMPRODUCT((Personnel!$O$9:$O$100="SP-Prof")*(Personnel!$G$9:$G$100="Yes")*(41&gt;=Personnel!$E$9:$E$100)*((Personnel!$K$9:$K$100="")+(41&lt;=Personnel!$K$9:$K$100)&gt;0)*Personnel!$D$9:$D$100*(1-Personnel!$I$9:$I$100))))*Escalation!$B$42,Actuals!AT99)</f>
        <v>-29217.9</v>
      </c>
      <c r="AT279" s="21" t="n">
        <f aca="false">IF(ISBLANK(Actuals!AU99),(-(SUMPRODUCT((Personnel!$O$9:$O$100="SP-Prof")*(Personnel!$G$9:$G$100="Yes")*(42&gt;=Personnel!$E$9:$E$100)*((Personnel!$K$9:$K$100="")+(42&lt;=Personnel!$K$9:$K$100)&gt;0)*Personnel!$D$9:$D$100*(1-Personnel!$I$9:$I$100))))*Escalation!$B$43,Actuals!AU99)</f>
        <v>-29217.9</v>
      </c>
      <c r="AU279" s="21" t="n">
        <f aca="false">IF(ISBLANK(Actuals!AV99),(-(SUMPRODUCT((Personnel!$O$9:$O$100="SP-Prof")*(Personnel!$G$9:$G$100="Yes")*(43&gt;=Personnel!$E$9:$E$100)*((Personnel!$K$9:$K$100="")+(43&lt;=Personnel!$K$9:$K$100)&gt;0)*Personnel!$D$9:$D$100*(1-Personnel!$I$9:$I$100))))*Escalation!$B$44,Actuals!AV99)</f>
        <v>-29217.9</v>
      </c>
      <c r="AV279" s="21" t="n">
        <f aca="false">IF(ISBLANK(Actuals!AW99),(-(SUMPRODUCT((Personnel!$O$9:$O$100="SP-Prof")*(Personnel!$G$9:$G$100="Yes")*(44&gt;=Personnel!$E$9:$E$100)*((Personnel!$K$9:$K$100="")+(44&lt;=Personnel!$K$9:$K$100)&gt;0)*Personnel!$D$9:$D$100*(1-Personnel!$I$9:$I$100))))*Escalation!$B$45,Actuals!AW99)</f>
        <v>-29217.9</v>
      </c>
      <c r="AW279" s="21" t="n">
        <f aca="false">IF(ISBLANK(Actuals!AX99),(-(SUMPRODUCT((Personnel!$O$9:$O$100="SP-Prof")*(Personnel!$G$9:$G$100="Yes")*(45&gt;=Personnel!$E$9:$E$100)*((Personnel!$K$9:$K$100="")+(45&lt;=Personnel!$K$9:$K$100)&gt;0)*Personnel!$D$9:$D$100*(1-Personnel!$I$9:$I$100))))*Escalation!$B$46,Actuals!AX99)</f>
        <v>-29217.9</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-29802.258</v>
      </c>
      <c r="BB279" s="21" t="n">
        <f aca="false">IF(ISBLANK(Actuals!BC99),(-(SUMPRODUCT((Personnel!$O$9:$O$100="SP-Prof")*(Personnel!$G$9:$G$100="Yes")*(50&gt;=Personnel!$E$9:$E$100)*((Personnel!$K$9:$K$100="")+(50&lt;=Personnel!$K$9:$K$100)&gt;0)*Personnel!$D$9:$D$100*(1-Personnel!$I$9:$I$100))))*Escalation!$B$51,Actuals!BC99)</f>
        <v>-29802.258</v>
      </c>
      <c r="BC279" s="21" t="n">
        <f aca="false">IF(ISBLANK(Actuals!BD99),(-(SUMPRODUCT((Personnel!$O$9:$O$100="SP-Prof")*(Personnel!$G$9:$G$100="Yes")*(51&gt;=Personnel!$E$9:$E$100)*((Personnel!$K$9:$K$100="")+(51&lt;=Personnel!$K$9:$K$100)&gt;0)*Personnel!$D$9:$D$100*(1-Personnel!$I$9:$I$100))))*Escalation!$B$52,Actuals!BD99)</f>
        <v>-29802.258</v>
      </c>
      <c r="BD279" s="21" t="n">
        <f aca="false">IF(ISBLANK(Actuals!BE99),(-(SUMPRODUCT((Personnel!$O$9:$O$100="SP-Prof")*(Personnel!$G$9:$G$100="Yes")*(52&gt;=Personnel!$E$9:$E$100)*((Personnel!$K$9:$K$100="")+(52&lt;=Personnel!$K$9:$K$100)&gt;0)*Personnel!$D$9:$D$100*(1-Personnel!$I$9:$I$100))))*Escalation!$B$53,Actuals!BE99)</f>
        <v>-29802.258</v>
      </c>
      <c r="BE279" s="21" t="n">
        <f aca="false">IF(ISBLANK(Actuals!BF99),(-(SUMPRODUCT((Personnel!$O$9:$O$100="SP-Prof")*(Personnel!$G$9:$G$100="Yes")*(53&gt;=Personnel!$E$9:$E$100)*((Personnel!$K$9:$K$100="")+(53&lt;=Personnel!$K$9:$K$100)&gt;0)*Personnel!$D$9:$D$100*(1-Personnel!$I$9:$I$100))))*Escalation!$B$54,Actuals!BF99)</f>
        <v>-29802.258</v>
      </c>
      <c r="BF279" s="21" t="n">
        <f aca="false">IF(ISBLANK(Actuals!BG99),(-(SUMPRODUCT((Personnel!$O$9:$O$100="SP-Prof")*(Personnel!$G$9:$G$100="Yes")*(54&gt;=Personnel!$E$9:$E$100)*((Personnel!$K$9:$K$100="")+(54&lt;=Personnel!$K$9:$K$100)&gt;0)*Personnel!$D$9:$D$100*(1-Personnel!$I$9:$I$100))))*Escalation!$B$55,Actuals!BG99)</f>
        <v>-29802.258</v>
      </c>
      <c r="BG279" s="21" t="n">
        <f aca="false">IF(ISBLANK(Actuals!BH99),(-(SUMPRODUCT((Personnel!$O$9:$O$100="SP-Prof")*(Personnel!$G$9:$G$100="Yes")*(55&gt;=Personnel!$E$9:$E$100)*((Personnel!$K$9:$K$100="")+(55&lt;=Personnel!$K$9:$K$100)&gt;0)*Personnel!$D$9:$D$100*(1-Personnel!$I$9:$I$100))))*Escalation!$B$56,Actuals!BH99)</f>
        <v>-29802.258</v>
      </c>
      <c r="BH279" s="21" t="n">
        <f aca="false">IF(ISBLANK(Actuals!BI99),(-(SUMPRODUCT((Personnel!$O$9:$O$100="SP-Prof")*(Personnel!$G$9:$G$100="Yes")*(56&gt;=Personnel!$E$9:$E$100)*((Personnel!$K$9:$K$100="")+(56&lt;=Personnel!$K$9:$K$100)&gt;0)*Personnel!$D$9:$D$100*(1-Personnel!$I$9:$I$100))))*Escalation!$B$57,Actuals!BI99)</f>
        <v>-29802.258</v>
      </c>
      <c r="BI279" s="21" t="n">
        <f aca="false">IF(ISBLANK(Actuals!BJ99),(-(SUMPRODUCT((Personnel!$O$9:$O$100="SP-Prof")*(Personnel!$G$9:$G$100="Yes")*(57&gt;=Personnel!$E$9:$E$100)*((Personnel!$K$9:$K$100="")+(57&lt;=Personnel!$K$9:$K$100)&gt;0)*Personnel!$D$9:$D$100*(1-Personnel!$I$9:$I$100))))*Escalation!$B$58,Actuals!BJ99)</f>
        <v>-29802.258</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-30398.30316</v>
      </c>
      <c r="BN279" s="21" t="n">
        <f aca="false">IF(ISBLANK(Actuals!BO99),(-(SUMPRODUCT((Personnel!$O$9:$O$100="SP-Prof")*(Personnel!$G$9:$G$100="Yes")*(62&gt;=Personnel!$E$9:$E$100)*((Personnel!$K$9:$K$100="")+(62&lt;=Personnel!$K$9:$K$100)&gt;0)*Personnel!$D$9:$D$100*(1-Personnel!$I$9:$I$100))))*Escalation!$B$63,Actuals!BO99)</f>
        <v>-30398.30316</v>
      </c>
      <c r="BO279" s="21" t="n">
        <f aca="false">IF(ISBLANK(Actuals!BP99),(-(SUMPRODUCT((Personnel!$O$9:$O$100="SP-Prof")*(Personnel!$G$9:$G$100="Yes")*(63&gt;=Personnel!$E$9:$E$100)*((Personnel!$K$9:$K$100="")+(63&lt;=Personnel!$K$9:$K$100)&gt;0)*Personnel!$D$9:$D$100*(1-Personnel!$I$9:$I$100))))*Escalation!$B$64,Actuals!BP99)</f>
        <v>-30398.30316</v>
      </c>
      <c r="BP279" s="21" t="n">
        <f aca="false">IF(ISBLANK(Actuals!BQ99),(-(SUMPRODUCT((Personnel!$O$9:$O$100="SP-Prof")*(Personnel!$G$9:$G$100="Yes")*(64&gt;=Personnel!$E$9:$E$100)*((Personnel!$K$9:$K$100="")+(64&lt;=Personnel!$K$9:$K$100)&gt;0)*Personnel!$D$9:$D$100*(1-Personnel!$I$9:$I$100))))*Escalation!$B$65,Actuals!BQ99)</f>
        <v>-30398.30316</v>
      </c>
      <c r="BQ279" s="21" t="n">
        <f aca="false">IF(ISBLANK(Actuals!BR99),(-(SUMPRODUCT((Personnel!$O$9:$O$100="SP-Prof")*(Personnel!$G$9:$G$100="Yes")*(65&gt;=Personnel!$E$9:$E$100)*((Personnel!$K$9:$K$100="")+(65&lt;=Personnel!$K$9:$K$100)&gt;0)*Personnel!$D$9:$D$100*(1-Personnel!$I$9:$I$100))))*Escalation!$B$66,Actuals!BR99)</f>
        <v>-30398.30316</v>
      </c>
      <c r="BR279" s="21" t="n">
        <f aca="false">IF(ISBLANK(Actuals!BS99),(-(SUMPRODUCT((Personnel!$O$9:$O$100="SP-Prof")*(Personnel!$G$9:$G$100="Yes")*(66&gt;=Personnel!$E$9:$E$100)*((Personnel!$K$9:$K$100="")+(66&lt;=Personnel!$K$9:$K$100)&gt;0)*Personnel!$D$9:$D$100*(1-Personnel!$I$9:$I$100))))*Escalation!$B$67,Actuals!BS99)</f>
        <v>-30398.30316</v>
      </c>
      <c r="BS279" s="21" t="n">
        <f aca="false">IF(ISBLANK(Actuals!BT99),(-(SUMPRODUCT((Personnel!$O$9:$O$100="SP-Prof")*(Personnel!$G$9:$G$100="Yes")*(67&gt;=Personnel!$E$9:$E$100)*((Personnel!$K$9:$K$100="")+(67&lt;=Personnel!$K$9:$K$100)&gt;0)*Personnel!$D$9:$D$100*(1-Personnel!$I$9:$I$100))))*Escalation!$B$68,Actuals!BT99)</f>
        <v>-30398.30316</v>
      </c>
      <c r="BT279" s="21" t="n">
        <f aca="false">IF(ISBLANK(Actuals!BU99),(-(SUMPRODUCT((Personnel!$O$9:$O$100="SP-Prof")*(Personnel!$G$9:$G$100="Yes")*(68&gt;=Personnel!$E$9:$E$100)*((Personnel!$K$9:$K$100="")+(68&lt;=Personnel!$K$9:$K$100)&gt;0)*Personnel!$D$9:$D$100*(1-Personnel!$I$9:$I$100))))*Escalation!$B$69,Actuals!BU99)</f>
        <v>-30398.30316</v>
      </c>
      <c r="BU279" s="21" t="n">
        <f aca="false">IF(ISBLANK(Actuals!BV99),(-(SUMPRODUCT((Personnel!$O$9:$O$100="SP-Prof")*(Personnel!$G$9:$G$100="Yes")*(69&gt;=Personnel!$E$9:$E$100)*((Personnel!$K$9:$K$100="")+(69&lt;=Personnel!$K$9:$K$100)&gt;0)*Personnel!$D$9:$D$100*(1-Personnel!$I$9:$I$100))))*Escalation!$B$70,Actuals!BV99)</f>
        <v>-30398.30316</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-31006.2692232</v>
      </c>
      <c r="BZ279" s="21" t="n">
        <f aca="false">IF(ISBLANK(Actuals!CA99),(-(SUMPRODUCT((Personnel!$O$9:$O$100="SP-Prof")*(Personnel!$G$9:$G$100="Yes")*(74&gt;=Personnel!$E$9:$E$100)*((Personnel!$K$9:$K$100="")+(74&lt;=Personnel!$K$9:$K$100)&gt;0)*Personnel!$D$9:$D$100*(1-Personnel!$I$9:$I$100))))*Escalation!$B$75,Actuals!CA99)</f>
        <v>-31006.2692232</v>
      </c>
      <c r="CA279" s="21" t="n">
        <f aca="false">IF(ISBLANK(Actuals!CB99),(-(SUMPRODUCT((Personnel!$O$9:$O$100="SP-Prof")*(Personnel!$G$9:$G$100="Yes")*(75&gt;=Personnel!$E$9:$E$100)*((Personnel!$K$9:$K$100="")+(75&lt;=Personnel!$K$9:$K$100)&gt;0)*Personnel!$D$9:$D$100*(1-Personnel!$I$9:$I$100))))*Escalation!$B$76,Actuals!CB99)</f>
        <v>-31006.2692232</v>
      </c>
      <c r="CB279" s="21" t="n">
        <f aca="false">IF(ISBLANK(Actuals!CC99),(-(SUMPRODUCT((Personnel!$O$9:$O$100="SP-Prof")*(Personnel!$G$9:$G$100="Yes")*(76&gt;=Personnel!$E$9:$E$100)*((Personnel!$K$9:$K$100="")+(76&lt;=Personnel!$K$9:$K$100)&gt;0)*Personnel!$D$9:$D$100*(1-Personnel!$I$9:$I$100))))*Escalation!$B$77,Actuals!CC99)</f>
        <v>-31006.2692232</v>
      </c>
      <c r="CC279" s="21" t="n">
        <f aca="false">IF(ISBLANK(Actuals!CD99),(-(SUMPRODUCT((Personnel!$O$9:$O$100="SP-Prof")*(Personnel!$G$9:$G$100="Yes")*(77&gt;=Personnel!$E$9:$E$100)*((Personnel!$K$9:$K$100="")+(77&lt;=Personnel!$K$9:$K$100)&gt;0)*Personnel!$D$9:$D$100*(1-Personnel!$I$9:$I$100))))*Escalation!$B$78,Actuals!CD99)</f>
        <v>-31006.2692232</v>
      </c>
      <c r="CD279" s="21" t="n">
        <f aca="false">IF(ISBLANK(Actuals!CE99),(-(SUMPRODUCT((Personnel!$O$9:$O$100="SP-Prof")*(Personnel!$G$9:$G$100="Yes")*(78&gt;=Personnel!$E$9:$E$100)*((Personnel!$K$9:$K$100="")+(78&lt;=Personnel!$K$9:$K$100)&gt;0)*Personnel!$D$9:$D$100*(1-Personnel!$I$9:$I$100))))*Escalation!$B$79,Actuals!CE99)</f>
        <v>-31006.2692232</v>
      </c>
      <c r="CE279" s="21" t="n">
        <f aca="false">IF(ISBLANK(Actuals!CF99),(-(SUMPRODUCT((Personnel!$O$9:$O$100="SP-Prof")*(Personnel!$G$9:$G$100="Yes")*(79&gt;=Personnel!$E$9:$E$100)*((Personnel!$K$9:$K$100="")+(79&lt;=Personnel!$K$9:$K$100)&gt;0)*Personnel!$D$9:$D$100*(1-Personnel!$I$9:$I$100))))*Escalation!$B$80,Actuals!CF99)</f>
        <v>-31006.2692232</v>
      </c>
      <c r="CF279" s="21" t="n">
        <f aca="false">IF(ISBLANK(Actuals!CG99),(-(SUMPRODUCT((Personnel!$O$9:$O$100="SP-Prof")*(Personnel!$G$9:$G$100="Yes")*(80&gt;=Personnel!$E$9:$E$100)*((Personnel!$K$9:$K$100="")+(80&lt;=Personnel!$K$9:$K$100)&gt;0)*Personnel!$D$9:$D$100*(1-Personnel!$I$9:$I$100))))*Escalation!$B$81,Actuals!CG99)</f>
        <v>-31006.2692232</v>
      </c>
      <c r="CG279" s="21" t="n">
        <f aca="false">IF(ISBLANK(Actuals!CH99),(-(SUMPRODUCT((Personnel!$O$9:$O$100="SP-Prof")*(Personnel!$G$9:$G$100="Yes")*(81&gt;=Personnel!$E$9:$E$100)*((Personnel!$K$9:$K$100="")+(81&lt;=Personnel!$K$9:$K$100)&gt;0)*Personnel!$D$9:$D$100*(1-Personnel!$I$9:$I$100))))*Escalation!$B$82,Actuals!CH99)</f>
        <v>-31006.2692232</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-31626.394607664</v>
      </c>
      <c r="CL279" s="21" t="n">
        <f aca="false">IF(ISBLANK(Actuals!CM99),(-(SUMPRODUCT((Personnel!$O$9:$O$100="SP-Prof")*(Personnel!$G$9:$G$100="Yes")*(86&gt;=Personnel!$E$9:$E$100)*((Personnel!$K$9:$K$100="")+(86&lt;=Personnel!$K$9:$K$100)&gt;0)*Personnel!$D$9:$D$100*(1-Personnel!$I$9:$I$100))))*Escalation!$B$87,Actuals!CM99)</f>
        <v>-31626.394607664</v>
      </c>
      <c r="CM279" s="21" t="n">
        <f aca="false">IF(ISBLANK(Actuals!CN99),(-(SUMPRODUCT((Personnel!$O$9:$O$100="SP-Prof")*(Personnel!$G$9:$G$100="Yes")*(87&gt;=Personnel!$E$9:$E$100)*((Personnel!$K$9:$K$100="")+(87&lt;=Personnel!$K$9:$K$100)&gt;0)*Personnel!$D$9:$D$100*(1-Personnel!$I$9:$I$100))))*Escalation!$B$88,Actuals!CN99)</f>
        <v>-31626.394607664</v>
      </c>
      <c r="CN279" s="21" t="n">
        <f aca="false">IF(ISBLANK(Actuals!CO99),(-(SUMPRODUCT((Personnel!$O$9:$O$100="SP-Prof")*(Personnel!$G$9:$G$100="Yes")*(88&gt;=Personnel!$E$9:$E$100)*((Personnel!$K$9:$K$100="")+(88&lt;=Personnel!$K$9:$K$100)&gt;0)*Personnel!$D$9:$D$100*(1-Personnel!$I$9:$I$100))))*Escalation!$B$89,Actuals!CO99)</f>
        <v>-31626.394607664</v>
      </c>
      <c r="CO279" s="21" t="n">
        <f aca="false">IF(ISBLANK(Actuals!CP99),(-(SUMPRODUCT((Personnel!$O$9:$O$100="SP-Prof")*(Personnel!$G$9:$G$100="Yes")*(89&gt;=Personnel!$E$9:$E$100)*((Personnel!$K$9:$K$100="")+(89&lt;=Personnel!$K$9:$K$100)&gt;0)*Personnel!$D$9:$D$100*(1-Personnel!$I$9:$I$100))))*Escalation!$B$90,Actuals!CP99)</f>
        <v>-31626.394607664</v>
      </c>
      <c r="CP279" s="21" t="n">
        <f aca="false">IF(ISBLANK(Actuals!CQ99),(-(SUMPRODUCT((Personnel!$O$9:$O$100="SP-Prof")*(Personnel!$G$9:$G$100="Yes")*(90&gt;=Personnel!$E$9:$E$100)*((Personnel!$K$9:$K$100="")+(90&lt;=Personnel!$K$9:$K$100)&gt;0)*Personnel!$D$9:$D$100*(1-Personnel!$I$9:$I$100))))*Escalation!$B$91,Actuals!CQ99)</f>
        <v>-31626.394607664</v>
      </c>
      <c r="CQ279" s="21" t="n">
        <f aca="false">IF(ISBLANK(Actuals!CR99),(-(SUMPRODUCT((Personnel!$O$9:$O$100="SP-Prof")*(Personnel!$G$9:$G$100="Yes")*(91&gt;=Personnel!$E$9:$E$100)*((Personnel!$K$9:$K$100="")+(91&lt;=Personnel!$K$9:$K$100)&gt;0)*Personnel!$D$9:$D$100*(1-Personnel!$I$9:$I$100))))*Escalation!$B$92,Actuals!CR99)</f>
        <v>-31626.394607664</v>
      </c>
      <c r="CR279" s="21" t="n">
        <f aca="false">IF(ISBLANK(Actuals!CS99),(-(SUMPRODUCT((Personnel!$O$9:$O$100="SP-Prof")*(Personnel!$G$9:$G$100="Yes")*(92&gt;=Personnel!$E$9:$E$100)*((Personnel!$K$9:$K$100="")+(92&lt;=Personnel!$K$9:$K$100)&gt;0)*Personnel!$D$9:$D$100*(1-Personnel!$I$9:$I$100))))*Escalation!$B$93,Actuals!CS99)</f>
        <v>-31626.394607664</v>
      </c>
      <c r="CS279" s="21" t="n">
        <f aca="false">IF(ISBLANK(Actuals!CT99),(-(SUMPRODUCT((Personnel!$O$9:$O$100="SP-Prof")*(Personnel!$G$9:$G$100="Yes")*(93&gt;=Personnel!$E$9:$E$100)*((Personnel!$K$9:$K$100="")+(93&lt;=Personnel!$K$9:$K$100)&gt;0)*Personnel!$D$9:$D$100*(1-Personnel!$I$9:$I$100))))*Escalation!$B$94,Actuals!CT99)</f>
        <v>-31626.394607664</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-32258.9224998173</v>
      </c>
      <c r="CX279" s="21" t="n">
        <f aca="false">IF(ISBLANK(Actuals!CY99),(-(SUMPRODUCT((Personnel!$O$9:$O$100="SP-Prof")*(Personnel!$G$9:$G$100="Yes")*(98&gt;=Personnel!$E$9:$E$100)*((Personnel!$K$9:$K$100="")+(98&lt;=Personnel!$K$9:$K$100)&gt;0)*Personnel!$D$9:$D$100*(1-Personnel!$I$9:$I$100))))*Escalation!$B$99,Actuals!CY99)</f>
        <v>-32258.9224998173</v>
      </c>
      <c r="CY279" s="21" t="n">
        <f aca="false">IF(ISBLANK(Actuals!CZ99),(-(SUMPRODUCT((Personnel!$O$9:$O$100="SP-Prof")*(Personnel!$G$9:$G$100="Yes")*(99&gt;=Personnel!$E$9:$E$100)*((Personnel!$K$9:$K$100="")+(99&lt;=Personnel!$K$9:$K$100)&gt;0)*Personnel!$D$9:$D$100*(1-Personnel!$I$9:$I$100))))*Escalation!$B$100,Actuals!CZ99)</f>
        <v>-32258.9224998173</v>
      </c>
      <c r="CZ279" s="21" t="n">
        <f aca="false">IF(ISBLANK(Actuals!DA99),(-(SUMPRODUCT((Personnel!$O$9:$O$100="SP-Prof")*(Personnel!$G$9:$G$100="Yes")*(100&gt;=Personnel!$E$9:$E$100)*((Personnel!$K$9:$K$100="")+(100&lt;=Personnel!$K$9:$K$100)&gt;0)*Personnel!$D$9:$D$100*(1-Personnel!$I$9:$I$100))))*Escalation!$B$101,Actuals!DA99)</f>
        <v>-32258.9224998173</v>
      </c>
      <c r="DA279" s="21" t="n">
        <f aca="false">IF(ISBLANK(Actuals!DB99),(-(SUMPRODUCT((Personnel!$O$9:$O$100="SP-Prof")*(Personnel!$G$9:$G$100="Yes")*(101&gt;=Personnel!$E$9:$E$100)*((Personnel!$K$9:$K$100="")+(101&lt;=Personnel!$K$9:$K$100)&gt;0)*Personnel!$D$9:$D$100*(1-Personnel!$I$9:$I$100))))*Escalation!$B$102,Actuals!DB99)</f>
        <v>-32258.9224998173</v>
      </c>
      <c r="DB279" s="21" t="n">
        <f aca="false">IF(ISBLANK(Actuals!DC99),(-(SUMPRODUCT((Personnel!$O$9:$O$100="SP-Prof")*(Personnel!$G$9:$G$100="Yes")*(102&gt;=Personnel!$E$9:$E$100)*((Personnel!$K$9:$K$100="")+(102&lt;=Personnel!$K$9:$K$100)&gt;0)*Personnel!$D$9:$D$100*(1-Personnel!$I$9:$I$100))))*Escalation!$B$103,Actuals!DC99)</f>
        <v>-32258.9224998173</v>
      </c>
      <c r="DC279" s="21" t="n">
        <f aca="false">IF(ISBLANK(Actuals!DD99),(-(SUMPRODUCT((Personnel!$O$9:$O$100="SP-Prof")*(Personnel!$G$9:$G$100="Yes")*(103&gt;=Personnel!$E$9:$E$100)*((Personnel!$K$9:$K$100="")+(103&lt;=Personnel!$K$9:$K$100)&gt;0)*Personnel!$D$9:$D$100*(1-Personnel!$I$9:$I$100))))*Escalation!$B$104,Actuals!DD99)</f>
        <v>-32258.9224998173</v>
      </c>
      <c r="DD279" s="21" t="n">
        <f aca="false">IF(ISBLANK(Actuals!DE99),(-(SUMPRODUCT((Personnel!$O$9:$O$100="SP-Prof")*(Personnel!$G$9:$G$100="Yes")*(104&gt;=Personnel!$E$9:$E$100)*((Personnel!$K$9:$K$100="")+(104&lt;=Personnel!$K$9:$K$100)&gt;0)*Personnel!$D$9:$D$100*(1-Personnel!$I$9:$I$100))))*Escalation!$B$105,Actuals!DE99)</f>
        <v>-32258.9224998173</v>
      </c>
      <c r="DE279" s="21" t="n">
        <f aca="false">IF(ISBLANK(Actuals!DF99),(-(SUMPRODUCT((Personnel!$O$9:$O$100="SP-Prof")*(Personnel!$G$9:$G$100="Yes")*(105&gt;=Personnel!$E$9:$E$100)*((Personnel!$K$9:$K$100="")+(105&lt;=Personnel!$K$9:$K$100)&gt;0)*Personnel!$D$9:$D$100*(1-Personnel!$I$9:$I$100))))*Escalation!$B$106,Actuals!DF99)</f>
        <v>-32258.9224998173</v>
      </c>
    </row>
    <row r="280" customFormat="false" ht="15" hidden="false" customHeight="true" outlineLevel="0" collapsed="false">
      <c r="A280" s="35" t="s">
        <v>130</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-1586.17</v>
      </c>
      <c r="R280" s="21" t="n">
        <f aca="false">IF(ISBLANK(Actuals!S100),-1586.17*Escalation!$B$15,Actuals!S100)</f>
        <v>-1586.17</v>
      </c>
      <c r="S280" s="21" t="n">
        <f aca="false">IF(ISBLANK(Actuals!T100),-1586.17*Escalation!$B$16,Actuals!T100)</f>
        <v>-1586.17</v>
      </c>
      <c r="T280" s="21" t="n">
        <f aca="false">IF(ISBLANK(Actuals!U100),-1586.17*Escalation!$B$17,Actuals!U100)</f>
        <v>-1586.17</v>
      </c>
      <c r="U280" s="21" t="n">
        <f aca="false">IF(ISBLANK(Actuals!V100),-1586.17*Escalation!$B$18,Actuals!V100)</f>
        <v>-1586.17</v>
      </c>
      <c r="V280" s="21" t="n">
        <f aca="false">IF(ISBLANK(Actuals!W100),-1586.17*Escalation!$B$19,Actuals!W100)</f>
        <v>-1586.17</v>
      </c>
      <c r="W280" s="21" t="n">
        <f aca="false">IF(ISBLANK(Actuals!X100),-1586.17*Escalation!$B$20,Actuals!X100)</f>
        <v>-1586.17</v>
      </c>
      <c r="X280" s="21" t="n">
        <f aca="false">IF(ISBLANK(Actuals!Y100),-1586.17*Escalation!$B$21,Actuals!Y100)</f>
        <v>-1586.17</v>
      </c>
      <c r="Y280" s="21" t="n">
        <f aca="false">IF(ISBLANK(Actuals!Z100),-1586.17*Escalation!$B$22,Actuals!Z100)</f>
        <v>-1586.17</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-1617.8934</v>
      </c>
      <c r="AD280" s="21" t="n">
        <f aca="false">IF(ISBLANK(Actuals!AE100),-1586.17*Escalation!$B$27,Actuals!AE100)</f>
        <v>-1617.8934</v>
      </c>
      <c r="AE280" s="21" t="n">
        <f aca="false">IF(ISBLANK(Actuals!AF100),-1586.17*Escalation!$B$28,Actuals!AF100)</f>
        <v>-1617.8934</v>
      </c>
      <c r="AF280" s="21" t="n">
        <f aca="false">IF(ISBLANK(Actuals!AG100),-1586.17*Escalation!$B$29,Actuals!AG100)</f>
        <v>-1617.8934</v>
      </c>
      <c r="AG280" s="21" t="n">
        <f aca="false">IF(ISBLANK(Actuals!AH100),-1586.17*Escalation!$B$30,Actuals!AH100)</f>
        <v>-1617.8934</v>
      </c>
      <c r="AH280" s="21" t="n">
        <f aca="false">IF(ISBLANK(Actuals!AI100),-1586.17*Escalation!$B$31,Actuals!AI100)</f>
        <v>-1617.8934</v>
      </c>
      <c r="AI280" s="21" t="n">
        <f aca="false">IF(ISBLANK(Actuals!AJ100),-1586.17*Escalation!$B$32,Actuals!AJ100)</f>
        <v>-1617.8934</v>
      </c>
      <c r="AJ280" s="21" t="n">
        <f aca="false">IF(ISBLANK(Actuals!AK100),-1586.17*Escalation!$B$33,Actuals!AK100)</f>
        <v>-1617.8934</v>
      </c>
      <c r="AK280" s="21" t="n">
        <f aca="false">IF(ISBLANK(Actuals!AL100),-1586.17*Escalation!$B$34,Actuals!AL100)</f>
        <v>-1617.8934</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-1650.251268</v>
      </c>
      <c r="AP280" s="21" t="n">
        <f aca="false">IF(ISBLANK(Actuals!AQ100),-1586.17*Escalation!$B$39,Actuals!AQ100)</f>
        <v>-1650.251268</v>
      </c>
      <c r="AQ280" s="21" t="n">
        <f aca="false">IF(ISBLANK(Actuals!AR100),-1586.17*Escalation!$B$40,Actuals!AR100)</f>
        <v>-1650.251268</v>
      </c>
      <c r="AR280" s="21" t="n">
        <f aca="false">IF(ISBLANK(Actuals!AS100),-1586.17*Escalation!$B$41,Actuals!AS100)</f>
        <v>-1650.251268</v>
      </c>
      <c r="AS280" s="21" t="n">
        <f aca="false">IF(ISBLANK(Actuals!AT100),-1586.17*Escalation!$B$42,Actuals!AT100)</f>
        <v>-1650.251268</v>
      </c>
      <c r="AT280" s="21" t="n">
        <f aca="false">IF(ISBLANK(Actuals!AU100),-1586.17*Escalation!$B$43,Actuals!AU100)</f>
        <v>-1650.251268</v>
      </c>
      <c r="AU280" s="21" t="n">
        <f aca="false">IF(ISBLANK(Actuals!AV100),-1586.17*Escalation!$B$44,Actuals!AV100)</f>
        <v>-1650.251268</v>
      </c>
      <c r="AV280" s="21" t="n">
        <f aca="false">IF(ISBLANK(Actuals!AW100),-1586.17*Escalation!$B$45,Actuals!AW100)</f>
        <v>-1650.251268</v>
      </c>
      <c r="AW280" s="21" t="n">
        <f aca="false">IF(ISBLANK(Actuals!AX100),-1586.17*Escalation!$B$46,Actuals!AX100)</f>
        <v>-1650.251268</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-1683.25629336</v>
      </c>
      <c r="BB280" s="21" t="n">
        <f aca="false">IF(ISBLANK(Actuals!BC100),-1586.17*Escalation!$B$51,Actuals!BC100)</f>
        <v>-1683.25629336</v>
      </c>
      <c r="BC280" s="21" t="n">
        <f aca="false">IF(ISBLANK(Actuals!BD100),-1586.17*Escalation!$B$52,Actuals!BD100)</f>
        <v>-1683.25629336</v>
      </c>
      <c r="BD280" s="21" t="n">
        <f aca="false">IF(ISBLANK(Actuals!BE100),-1586.17*Escalation!$B$53,Actuals!BE100)</f>
        <v>-1683.25629336</v>
      </c>
      <c r="BE280" s="21" t="n">
        <f aca="false">IF(ISBLANK(Actuals!BF100),-1586.17*Escalation!$B$54,Actuals!BF100)</f>
        <v>-1683.25629336</v>
      </c>
      <c r="BF280" s="21" t="n">
        <f aca="false">IF(ISBLANK(Actuals!BG100),-1586.17*Escalation!$B$55,Actuals!BG100)</f>
        <v>-1683.25629336</v>
      </c>
      <c r="BG280" s="21" t="n">
        <f aca="false">IF(ISBLANK(Actuals!BH100),-1586.17*Escalation!$B$56,Actuals!BH100)</f>
        <v>-1683.25629336</v>
      </c>
      <c r="BH280" s="21" t="n">
        <f aca="false">IF(ISBLANK(Actuals!BI100),-1586.17*Escalation!$B$57,Actuals!BI100)</f>
        <v>-1683.25629336</v>
      </c>
      <c r="BI280" s="21" t="n">
        <f aca="false">IF(ISBLANK(Actuals!BJ100),-1586.17*Escalation!$B$58,Actuals!BJ100)</f>
        <v>-1683.25629336</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-1716.9214192272</v>
      </c>
      <c r="BN280" s="21" t="n">
        <f aca="false">IF(ISBLANK(Actuals!BO100),-1586.17*Escalation!$B$63,Actuals!BO100)</f>
        <v>-1716.9214192272</v>
      </c>
      <c r="BO280" s="21" t="n">
        <f aca="false">IF(ISBLANK(Actuals!BP100),-1586.17*Escalation!$B$64,Actuals!BP100)</f>
        <v>-1716.9214192272</v>
      </c>
      <c r="BP280" s="21" t="n">
        <f aca="false">IF(ISBLANK(Actuals!BQ100),-1586.17*Escalation!$B$65,Actuals!BQ100)</f>
        <v>-1716.9214192272</v>
      </c>
      <c r="BQ280" s="21" t="n">
        <f aca="false">IF(ISBLANK(Actuals!BR100),-1586.17*Escalation!$B$66,Actuals!BR100)</f>
        <v>-1716.9214192272</v>
      </c>
      <c r="BR280" s="21" t="n">
        <f aca="false">IF(ISBLANK(Actuals!BS100),-1586.17*Escalation!$B$67,Actuals!BS100)</f>
        <v>-1716.9214192272</v>
      </c>
      <c r="BS280" s="21" t="n">
        <f aca="false">IF(ISBLANK(Actuals!BT100),-1586.17*Escalation!$B$68,Actuals!BT100)</f>
        <v>-1716.9214192272</v>
      </c>
      <c r="BT280" s="21" t="n">
        <f aca="false">IF(ISBLANK(Actuals!BU100),-1586.17*Escalation!$B$69,Actuals!BU100)</f>
        <v>-1716.9214192272</v>
      </c>
      <c r="BU280" s="21" t="n">
        <f aca="false">IF(ISBLANK(Actuals!BV100),-1586.17*Escalation!$B$70,Actuals!BV100)</f>
        <v>-1716.9214192272</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-1751.25984761174</v>
      </c>
      <c r="BZ280" s="21" t="n">
        <f aca="false">IF(ISBLANK(Actuals!CA100),-1586.17*Escalation!$B$75,Actuals!CA100)</f>
        <v>-1751.25984761174</v>
      </c>
      <c r="CA280" s="21" t="n">
        <f aca="false">IF(ISBLANK(Actuals!CB100),-1586.17*Escalation!$B$76,Actuals!CB100)</f>
        <v>-1751.25984761174</v>
      </c>
      <c r="CB280" s="21" t="n">
        <f aca="false">IF(ISBLANK(Actuals!CC100),-1586.17*Escalation!$B$77,Actuals!CC100)</f>
        <v>-1751.25984761174</v>
      </c>
      <c r="CC280" s="21" t="n">
        <f aca="false">IF(ISBLANK(Actuals!CD100),-1586.17*Escalation!$B$78,Actuals!CD100)</f>
        <v>-1751.25984761174</v>
      </c>
      <c r="CD280" s="21" t="n">
        <f aca="false">IF(ISBLANK(Actuals!CE100),-1586.17*Escalation!$B$79,Actuals!CE100)</f>
        <v>-1751.25984761174</v>
      </c>
      <c r="CE280" s="21" t="n">
        <f aca="false">IF(ISBLANK(Actuals!CF100),-1586.17*Escalation!$B$80,Actuals!CF100)</f>
        <v>-1751.25984761174</v>
      </c>
      <c r="CF280" s="21" t="n">
        <f aca="false">IF(ISBLANK(Actuals!CG100),-1586.17*Escalation!$B$81,Actuals!CG100)</f>
        <v>-1751.25984761174</v>
      </c>
      <c r="CG280" s="21" t="n">
        <f aca="false">IF(ISBLANK(Actuals!CH100),-1586.17*Escalation!$B$82,Actuals!CH100)</f>
        <v>-1751.25984761174</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-1786.28504456398</v>
      </c>
      <c r="CL280" s="21" t="n">
        <f aca="false">IF(ISBLANK(Actuals!CM100),-1586.17*Escalation!$B$87,Actuals!CM100)</f>
        <v>-1786.28504456398</v>
      </c>
      <c r="CM280" s="21" t="n">
        <f aca="false">IF(ISBLANK(Actuals!CN100),-1586.17*Escalation!$B$88,Actuals!CN100)</f>
        <v>-1786.28504456398</v>
      </c>
      <c r="CN280" s="21" t="n">
        <f aca="false">IF(ISBLANK(Actuals!CO100),-1586.17*Escalation!$B$89,Actuals!CO100)</f>
        <v>-1786.28504456398</v>
      </c>
      <c r="CO280" s="21" t="n">
        <f aca="false">IF(ISBLANK(Actuals!CP100),-1586.17*Escalation!$B$90,Actuals!CP100)</f>
        <v>-1786.28504456398</v>
      </c>
      <c r="CP280" s="21" t="n">
        <f aca="false">IF(ISBLANK(Actuals!CQ100),-1586.17*Escalation!$B$91,Actuals!CQ100)</f>
        <v>-1786.28504456398</v>
      </c>
      <c r="CQ280" s="21" t="n">
        <f aca="false">IF(ISBLANK(Actuals!CR100),-1586.17*Escalation!$B$92,Actuals!CR100)</f>
        <v>-1786.28504456398</v>
      </c>
      <c r="CR280" s="21" t="n">
        <f aca="false">IF(ISBLANK(Actuals!CS100),-1586.17*Escalation!$B$93,Actuals!CS100)</f>
        <v>-1786.28504456398</v>
      </c>
      <c r="CS280" s="21" t="n">
        <f aca="false">IF(ISBLANK(Actuals!CT100),-1586.17*Escalation!$B$94,Actuals!CT100)</f>
        <v>-1786.28504456398</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-1822.01074545526</v>
      </c>
      <c r="CX280" s="21" t="n">
        <f aca="false">IF(ISBLANK(Actuals!CY100),-1586.17*Escalation!$B$99,Actuals!CY100)</f>
        <v>-1822.01074545526</v>
      </c>
      <c r="CY280" s="21" t="n">
        <f aca="false">IF(ISBLANK(Actuals!CZ100),-1586.17*Escalation!$B$100,Actuals!CZ100)</f>
        <v>-1822.01074545526</v>
      </c>
      <c r="CZ280" s="21" t="n">
        <f aca="false">IF(ISBLANK(Actuals!DA100),-1586.17*Escalation!$B$101,Actuals!DA100)</f>
        <v>-1822.01074545526</v>
      </c>
      <c r="DA280" s="21" t="n">
        <f aca="false">IF(ISBLANK(Actuals!DB100),-1586.17*Escalation!$B$102,Actuals!DB100)</f>
        <v>-1822.01074545526</v>
      </c>
      <c r="DB280" s="21" t="n">
        <f aca="false">IF(ISBLANK(Actuals!DC100),-1586.17*Escalation!$B$103,Actuals!DC100)</f>
        <v>-1822.01074545526</v>
      </c>
      <c r="DC280" s="21" t="n">
        <f aca="false">IF(ISBLANK(Actuals!DD100),-1586.17*Escalation!$B$104,Actuals!DD100)</f>
        <v>-1822.01074545526</v>
      </c>
      <c r="DD280" s="21" t="n">
        <f aca="false">IF(ISBLANK(Actuals!DE100),-1586.17*Escalation!$B$105,Actuals!DE100)</f>
        <v>-1822.01074545526</v>
      </c>
      <c r="DE280" s="21" t="n">
        <f aca="false">IF(ISBLANK(Actuals!DF100),-1586.17*Escalation!$B$106,Actuals!DF100)</f>
        <v>-1822.01074545526</v>
      </c>
    </row>
    <row r="281" customFormat="false" ht="15" hidden="false" customHeight="true" outlineLevel="0" collapsed="false">
      <c r="A281" s="35" t="s">
        <v>131</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-3333.33</v>
      </c>
      <c r="R281" s="21" t="n">
        <f aca="false">IF(ISBLANK(Actuals!S101),-3333.33*Escalation!$B$15,Actuals!S101)</f>
        <v>-3333.33</v>
      </c>
      <c r="S281" s="21" t="n">
        <f aca="false">IF(ISBLANK(Actuals!T101),-3333.33*Escalation!$B$16,Actuals!T101)</f>
        <v>-3333.33</v>
      </c>
      <c r="T281" s="21" t="n">
        <f aca="false">IF(ISBLANK(Actuals!U101),-3333.33*Escalation!$B$17,Actuals!U101)</f>
        <v>-3333.33</v>
      </c>
      <c r="U281" s="21" t="n">
        <f aca="false">IF(ISBLANK(Actuals!V101),-3333.33*Escalation!$B$18,Actuals!V101)</f>
        <v>-3333.33</v>
      </c>
      <c r="V281" s="21" t="n">
        <f aca="false">IF(ISBLANK(Actuals!W101),-3333.33*Escalation!$B$19,Actuals!W101)</f>
        <v>-3333.33</v>
      </c>
      <c r="W281" s="21" t="n">
        <f aca="false">IF(ISBLANK(Actuals!X101),-3333.33*Escalation!$B$20,Actuals!X101)</f>
        <v>-3333.33</v>
      </c>
      <c r="X281" s="21" t="n">
        <f aca="false">IF(ISBLANK(Actuals!Y101),-3333.33*Escalation!$B$21,Actuals!Y101)</f>
        <v>-3333.33</v>
      </c>
      <c r="Y281" s="21" t="n">
        <f aca="false">IF(ISBLANK(Actuals!Z101),-3333.33*Escalation!$B$22,Actuals!Z101)</f>
        <v>-3333.33</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-3399.9966</v>
      </c>
      <c r="AD281" s="21" t="n">
        <f aca="false">IF(ISBLANK(Actuals!AE101),-3333.33*Escalation!$B$27,Actuals!AE101)</f>
        <v>-3399.9966</v>
      </c>
      <c r="AE281" s="21" t="n">
        <f aca="false">IF(ISBLANK(Actuals!AF101),-3333.33*Escalation!$B$28,Actuals!AF101)</f>
        <v>-3399.9966</v>
      </c>
      <c r="AF281" s="21" t="n">
        <f aca="false">IF(ISBLANK(Actuals!AG101),-3333.33*Escalation!$B$29,Actuals!AG101)</f>
        <v>-3399.9966</v>
      </c>
      <c r="AG281" s="21" t="n">
        <f aca="false">IF(ISBLANK(Actuals!AH101),-3333.33*Escalation!$B$30,Actuals!AH101)</f>
        <v>-3399.9966</v>
      </c>
      <c r="AH281" s="21" t="n">
        <f aca="false">IF(ISBLANK(Actuals!AI101),-3333.33*Escalation!$B$31,Actuals!AI101)</f>
        <v>-3399.9966</v>
      </c>
      <c r="AI281" s="21" t="n">
        <f aca="false">IF(ISBLANK(Actuals!AJ101),-3333.33*Escalation!$B$32,Actuals!AJ101)</f>
        <v>-3399.9966</v>
      </c>
      <c r="AJ281" s="21" t="n">
        <f aca="false">IF(ISBLANK(Actuals!AK101),-3333.33*Escalation!$B$33,Actuals!AK101)</f>
        <v>-3399.9966</v>
      </c>
      <c r="AK281" s="21" t="n">
        <f aca="false">IF(ISBLANK(Actuals!AL101),-3333.33*Escalation!$B$34,Actuals!AL101)</f>
        <v>-3399.9966</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-3467.996532</v>
      </c>
      <c r="AP281" s="21" t="n">
        <f aca="false">IF(ISBLANK(Actuals!AQ101),-3333.33*Escalation!$B$39,Actuals!AQ101)</f>
        <v>-3467.996532</v>
      </c>
      <c r="AQ281" s="21" t="n">
        <f aca="false">IF(ISBLANK(Actuals!AR101),-3333.33*Escalation!$B$40,Actuals!AR101)</f>
        <v>-3467.996532</v>
      </c>
      <c r="AR281" s="21" t="n">
        <f aca="false">IF(ISBLANK(Actuals!AS101),-3333.33*Escalation!$B$41,Actuals!AS101)</f>
        <v>-3467.996532</v>
      </c>
      <c r="AS281" s="21" t="n">
        <f aca="false">IF(ISBLANK(Actuals!AT101),-3333.33*Escalation!$B$42,Actuals!AT101)</f>
        <v>-3467.996532</v>
      </c>
      <c r="AT281" s="21" t="n">
        <f aca="false">IF(ISBLANK(Actuals!AU101),-3333.33*Escalation!$B$43,Actuals!AU101)</f>
        <v>-3467.996532</v>
      </c>
      <c r="AU281" s="21" t="n">
        <f aca="false">IF(ISBLANK(Actuals!AV101),-3333.33*Escalation!$B$44,Actuals!AV101)</f>
        <v>-3467.996532</v>
      </c>
      <c r="AV281" s="21" t="n">
        <f aca="false">IF(ISBLANK(Actuals!AW101),-3333.33*Escalation!$B$45,Actuals!AW101)</f>
        <v>-3467.996532</v>
      </c>
      <c r="AW281" s="21" t="n">
        <f aca="false">IF(ISBLANK(Actuals!AX101),-3333.33*Escalation!$B$46,Actuals!AX101)</f>
        <v>-3467.996532</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-3537.35646264</v>
      </c>
      <c r="BB281" s="21" t="n">
        <f aca="false">IF(ISBLANK(Actuals!BC101),-3333.33*Escalation!$B$51,Actuals!BC101)</f>
        <v>-3537.35646264</v>
      </c>
      <c r="BC281" s="21" t="n">
        <f aca="false">IF(ISBLANK(Actuals!BD101),-3333.33*Escalation!$B$52,Actuals!BD101)</f>
        <v>-3537.35646264</v>
      </c>
      <c r="BD281" s="21" t="n">
        <f aca="false">IF(ISBLANK(Actuals!BE101),-3333.33*Escalation!$B$53,Actuals!BE101)</f>
        <v>-3537.35646264</v>
      </c>
      <c r="BE281" s="21" t="n">
        <f aca="false">IF(ISBLANK(Actuals!BF101),-3333.33*Escalation!$B$54,Actuals!BF101)</f>
        <v>-3537.35646264</v>
      </c>
      <c r="BF281" s="21" t="n">
        <f aca="false">IF(ISBLANK(Actuals!BG101),-3333.33*Escalation!$B$55,Actuals!BG101)</f>
        <v>-3537.35646264</v>
      </c>
      <c r="BG281" s="21" t="n">
        <f aca="false">IF(ISBLANK(Actuals!BH101),-3333.33*Escalation!$B$56,Actuals!BH101)</f>
        <v>-3537.35646264</v>
      </c>
      <c r="BH281" s="21" t="n">
        <f aca="false">IF(ISBLANK(Actuals!BI101),-3333.33*Escalation!$B$57,Actuals!BI101)</f>
        <v>-3537.35646264</v>
      </c>
      <c r="BI281" s="21" t="n">
        <f aca="false">IF(ISBLANK(Actuals!BJ101),-3333.33*Escalation!$B$58,Actuals!BJ101)</f>
        <v>-3537.35646264</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-3608.1035918928</v>
      </c>
      <c r="BN281" s="21" t="n">
        <f aca="false">IF(ISBLANK(Actuals!BO101),-3333.33*Escalation!$B$63,Actuals!BO101)</f>
        <v>-3608.1035918928</v>
      </c>
      <c r="BO281" s="21" t="n">
        <f aca="false">IF(ISBLANK(Actuals!BP101),-3333.33*Escalation!$B$64,Actuals!BP101)</f>
        <v>-3608.1035918928</v>
      </c>
      <c r="BP281" s="21" t="n">
        <f aca="false">IF(ISBLANK(Actuals!BQ101),-3333.33*Escalation!$B$65,Actuals!BQ101)</f>
        <v>-3608.1035918928</v>
      </c>
      <c r="BQ281" s="21" t="n">
        <f aca="false">IF(ISBLANK(Actuals!BR101),-3333.33*Escalation!$B$66,Actuals!BR101)</f>
        <v>-3608.1035918928</v>
      </c>
      <c r="BR281" s="21" t="n">
        <f aca="false">IF(ISBLANK(Actuals!BS101),-3333.33*Escalation!$B$67,Actuals!BS101)</f>
        <v>-3608.1035918928</v>
      </c>
      <c r="BS281" s="21" t="n">
        <f aca="false">IF(ISBLANK(Actuals!BT101),-3333.33*Escalation!$B$68,Actuals!BT101)</f>
        <v>-3608.1035918928</v>
      </c>
      <c r="BT281" s="21" t="n">
        <f aca="false">IF(ISBLANK(Actuals!BU101),-3333.33*Escalation!$B$69,Actuals!BU101)</f>
        <v>-3608.1035918928</v>
      </c>
      <c r="BU281" s="21" t="n">
        <f aca="false">IF(ISBLANK(Actuals!BV101),-3333.33*Escalation!$B$70,Actuals!BV101)</f>
        <v>-3608.1035918928</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-3680.26566373066</v>
      </c>
      <c r="BZ281" s="21" t="n">
        <f aca="false">IF(ISBLANK(Actuals!CA101),-3333.33*Escalation!$B$75,Actuals!CA101)</f>
        <v>-3680.26566373066</v>
      </c>
      <c r="CA281" s="21" t="n">
        <f aca="false">IF(ISBLANK(Actuals!CB101),-3333.33*Escalation!$B$76,Actuals!CB101)</f>
        <v>-3680.26566373066</v>
      </c>
      <c r="CB281" s="21" t="n">
        <f aca="false">IF(ISBLANK(Actuals!CC101),-3333.33*Escalation!$B$77,Actuals!CC101)</f>
        <v>-3680.26566373066</v>
      </c>
      <c r="CC281" s="21" t="n">
        <f aca="false">IF(ISBLANK(Actuals!CD101),-3333.33*Escalation!$B$78,Actuals!CD101)</f>
        <v>-3680.26566373066</v>
      </c>
      <c r="CD281" s="21" t="n">
        <f aca="false">IF(ISBLANK(Actuals!CE101),-3333.33*Escalation!$B$79,Actuals!CE101)</f>
        <v>-3680.26566373066</v>
      </c>
      <c r="CE281" s="21" t="n">
        <f aca="false">IF(ISBLANK(Actuals!CF101),-3333.33*Escalation!$B$80,Actuals!CF101)</f>
        <v>-3680.26566373066</v>
      </c>
      <c r="CF281" s="21" t="n">
        <f aca="false">IF(ISBLANK(Actuals!CG101),-3333.33*Escalation!$B$81,Actuals!CG101)</f>
        <v>-3680.26566373066</v>
      </c>
      <c r="CG281" s="21" t="n">
        <f aca="false">IF(ISBLANK(Actuals!CH101),-3333.33*Escalation!$B$82,Actuals!CH101)</f>
        <v>-3680.26566373066</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-3753.87097700527</v>
      </c>
      <c r="CL281" s="21" t="n">
        <f aca="false">IF(ISBLANK(Actuals!CM101),-3333.33*Escalation!$B$87,Actuals!CM101)</f>
        <v>-3753.87097700527</v>
      </c>
      <c r="CM281" s="21" t="n">
        <f aca="false">IF(ISBLANK(Actuals!CN101),-3333.33*Escalation!$B$88,Actuals!CN101)</f>
        <v>-3753.87097700527</v>
      </c>
      <c r="CN281" s="21" t="n">
        <f aca="false">IF(ISBLANK(Actuals!CO101),-3333.33*Escalation!$B$89,Actuals!CO101)</f>
        <v>-3753.87097700527</v>
      </c>
      <c r="CO281" s="21" t="n">
        <f aca="false">IF(ISBLANK(Actuals!CP101),-3333.33*Escalation!$B$90,Actuals!CP101)</f>
        <v>-3753.87097700527</v>
      </c>
      <c r="CP281" s="21" t="n">
        <f aca="false">IF(ISBLANK(Actuals!CQ101),-3333.33*Escalation!$B$91,Actuals!CQ101)</f>
        <v>-3753.87097700527</v>
      </c>
      <c r="CQ281" s="21" t="n">
        <f aca="false">IF(ISBLANK(Actuals!CR101),-3333.33*Escalation!$B$92,Actuals!CR101)</f>
        <v>-3753.87097700527</v>
      </c>
      <c r="CR281" s="21" t="n">
        <f aca="false">IF(ISBLANK(Actuals!CS101),-3333.33*Escalation!$B$93,Actuals!CS101)</f>
        <v>-3753.87097700527</v>
      </c>
      <c r="CS281" s="21" t="n">
        <f aca="false">IF(ISBLANK(Actuals!CT101),-3333.33*Escalation!$B$94,Actuals!CT101)</f>
        <v>-3753.87097700527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-3828.94839654537</v>
      </c>
      <c r="CX281" s="21" t="n">
        <f aca="false">IF(ISBLANK(Actuals!CY101),-3333.33*Escalation!$B$99,Actuals!CY101)</f>
        <v>-3828.94839654537</v>
      </c>
      <c r="CY281" s="21" t="n">
        <f aca="false">IF(ISBLANK(Actuals!CZ101),-3333.33*Escalation!$B$100,Actuals!CZ101)</f>
        <v>-3828.94839654537</v>
      </c>
      <c r="CZ281" s="21" t="n">
        <f aca="false">IF(ISBLANK(Actuals!DA101),-3333.33*Escalation!$B$101,Actuals!DA101)</f>
        <v>-3828.94839654537</v>
      </c>
      <c r="DA281" s="21" t="n">
        <f aca="false">IF(ISBLANK(Actuals!DB101),-3333.33*Escalation!$B$102,Actuals!DB101)</f>
        <v>-3828.94839654537</v>
      </c>
      <c r="DB281" s="21" t="n">
        <f aca="false">IF(ISBLANK(Actuals!DC101),-3333.33*Escalation!$B$103,Actuals!DC101)</f>
        <v>-3828.94839654537</v>
      </c>
      <c r="DC281" s="21" t="n">
        <f aca="false">IF(ISBLANK(Actuals!DD101),-3333.33*Escalation!$B$104,Actuals!DD101)</f>
        <v>-3828.94839654537</v>
      </c>
      <c r="DD281" s="21" t="n">
        <f aca="false">IF(ISBLANK(Actuals!DE101),-3333.33*Escalation!$B$105,Actuals!DE101)</f>
        <v>-3828.94839654537</v>
      </c>
      <c r="DE281" s="21" t="n">
        <f aca="false">IF(ISBLANK(Actuals!DF101),-3333.33*Escalation!$B$106,Actuals!DF101)</f>
        <v>-3828.94839654537</v>
      </c>
    </row>
    <row r="282" customFormat="false" ht="15" hidden="false" customHeight="true" outlineLevel="0" collapsed="false">
      <c r="A282" s="35" t="s">
        <v>132</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-1905.31</v>
      </c>
      <c r="R282" s="21" t="n">
        <f aca="false">IF(ISBLANK(Actuals!S102),-1905.31*Escalation!$B$15,Actuals!S102)</f>
        <v>-1905.31</v>
      </c>
      <c r="S282" s="21" t="n">
        <f aca="false">IF(ISBLANK(Actuals!T102),-1905.31*Escalation!$B$16,Actuals!T102)</f>
        <v>-1905.31</v>
      </c>
      <c r="T282" s="21" t="n">
        <f aca="false">IF(ISBLANK(Actuals!U102),-1905.31*Escalation!$B$17,Actuals!U102)</f>
        <v>-1905.31</v>
      </c>
      <c r="U282" s="21" t="n">
        <f aca="false">IF(ISBLANK(Actuals!V102),-1905.31*Escalation!$B$18,Actuals!V102)</f>
        <v>-1905.31</v>
      </c>
      <c r="V282" s="21" t="n">
        <f aca="false">IF(ISBLANK(Actuals!W102),-1905.31*Escalation!$B$19,Actuals!W102)</f>
        <v>-1905.31</v>
      </c>
      <c r="W282" s="21" t="n">
        <f aca="false">IF(ISBLANK(Actuals!X102),-1905.31*Escalation!$B$20,Actuals!X102)</f>
        <v>-1905.31</v>
      </c>
      <c r="X282" s="21" t="n">
        <f aca="false">IF(ISBLANK(Actuals!Y102),-1905.31*Escalation!$B$21,Actuals!Y102)</f>
        <v>-1905.31</v>
      </c>
      <c r="Y282" s="21" t="n">
        <f aca="false">IF(ISBLANK(Actuals!Z102),-1905.31*Escalation!$B$22,Actuals!Z102)</f>
        <v>-1905.31</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-1943.4162</v>
      </c>
      <c r="AD282" s="21" t="n">
        <f aca="false">IF(ISBLANK(Actuals!AE102),-1905.31*Escalation!$B$27,Actuals!AE102)</f>
        <v>-1943.4162</v>
      </c>
      <c r="AE282" s="21" t="n">
        <f aca="false">IF(ISBLANK(Actuals!AF102),-1905.31*Escalation!$B$28,Actuals!AF102)</f>
        <v>-1943.4162</v>
      </c>
      <c r="AF282" s="21" t="n">
        <f aca="false">IF(ISBLANK(Actuals!AG102),-1905.31*Escalation!$B$29,Actuals!AG102)</f>
        <v>-1943.4162</v>
      </c>
      <c r="AG282" s="21" t="n">
        <f aca="false">IF(ISBLANK(Actuals!AH102),-1905.31*Escalation!$B$30,Actuals!AH102)</f>
        <v>-1943.4162</v>
      </c>
      <c r="AH282" s="21" t="n">
        <f aca="false">IF(ISBLANK(Actuals!AI102),-1905.31*Escalation!$B$31,Actuals!AI102)</f>
        <v>-1943.4162</v>
      </c>
      <c r="AI282" s="21" t="n">
        <f aca="false">IF(ISBLANK(Actuals!AJ102),-1905.31*Escalation!$B$32,Actuals!AJ102)</f>
        <v>-1943.4162</v>
      </c>
      <c r="AJ282" s="21" t="n">
        <f aca="false">IF(ISBLANK(Actuals!AK102),-1905.31*Escalation!$B$33,Actuals!AK102)</f>
        <v>-1943.4162</v>
      </c>
      <c r="AK282" s="21" t="n">
        <f aca="false">IF(ISBLANK(Actuals!AL102),-1905.31*Escalation!$B$34,Actuals!AL102)</f>
        <v>-1943.4162</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-1982.284524</v>
      </c>
      <c r="AP282" s="21" t="n">
        <f aca="false">IF(ISBLANK(Actuals!AQ102),-1905.31*Escalation!$B$39,Actuals!AQ102)</f>
        <v>-1982.284524</v>
      </c>
      <c r="AQ282" s="21" t="n">
        <f aca="false">IF(ISBLANK(Actuals!AR102),-1905.31*Escalation!$B$40,Actuals!AR102)</f>
        <v>-1982.284524</v>
      </c>
      <c r="AR282" s="21" t="n">
        <f aca="false">IF(ISBLANK(Actuals!AS102),-1905.31*Escalation!$B$41,Actuals!AS102)</f>
        <v>-1982.284524</v>
      </c>
      <c r="AS282" s="21" t="n">
        <f aca="false">IF(ISBLANK(Actuals!AT102),-1905.31*Escalation!$B$42,Actuals!AT102)</f>
        <v>-1982.284524</v>
      </c>
      <c r="AT282" s="21" t="n">
        <f aca="false">IF(ISBLANK(Actuals!AU102),-1905.31*Escalation!$B$43,Actuals!AU102)</f>
        <v>-1982.284524</v>
      </c>
      <c r="AU282" s="21" t="n">
        <f aca="false">IF(ISBLANK(Actuals!AV102),-1905.31*Escalation!$B$44,Actuals!AV102)</f>
        <v>-1982.284524</v>
      </c>
      <c r="AV282" s="21" t="n">
        <f aca="false">IF(ISBLANK(Actuals!AW102),-1905.31*Escalation!$B$45,Actuals!AW102)</f>
        <v>-1982.284524</v>
      </c>
      <c r="AW282" s="21" t="n">
        <f aca="false">IF(ISBLANK(Actuals!AX102),-1905.31*Escalation!$B$46,Actuals!AX102)</f>
        <v>-1982.284524</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-2021.93021448</v>
      </c>
      <c r="BB282" s="21" t="n">
        <f aca="false">IF(ISBLANK(Actuals!BC102),-1905.31*Escalation!$B$51,Actuals!BC102)</f>
        <v>-2021.93021448</v>
      </c>
      <c r="BC282" s="21" t="n">
        <f aca="false">IF(ISBLANK(Actuals!BD102),-1905.31*Escalation!$B$52,Actuals!BD102)</f>
        <v>-2021.93021448</v>
      </c>
      <c r="BD282" s="21" t="n">
        <f aca="false">IF(ISBLANK(Actuals!BE102),-1905.31*Escalation!$B$53,Actuals!BE102)</f>
        <v>-2021.93021448</v>
      </c>
      <c r="BE282" s="21" t="n">
        <f aca="false">IF(ISBLANK(Actuals!BF102),-1905.31*Escalation!$B$54,Actuals!BF102)</f>
        <v>-2021.93021448</v>
      </c>
      <c r="BF282" s="21" t="n">
        <f aca="false">IF(ISBLANK(Actuals!BG102),-1905.31*Escalation!$B$55,Actuals!BG102)</f>
        <v>-2021.93021448</v>
      </c>
      <c r="BG282" s="21" t="n">
        <f aca="false">IF(ISBLANK(Actuals!BH102),-1905.31*Escalation!$B$56,Actuals!BH102)</f>
        <v>-2021.93021448</v>
      </c>
      <c r="BH282" s="21" t="n">
        <f aca="false">IF(ISBLANK(Actuals!BI102),-1905.31*Escalation!$B$57,Actuals!BI102)</f>
        <v>-2021.93021448</v>
      </c>
      <c r="BI282" s="21" t="n">
        <f aca="false">IF(ISBLANK(Actuals!BJ102),-1905.31*Escalation!$B$58,Actuals!BJ102)</f>
        <v>-2021.93021448</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-2062.3688187696</v>
      </c>
      <c r="BN282" s="21" t="n">
        <f aca="false">IF(ISBLANK(Actuals!BO102),-1905.31*Escalation!$B$63,Actuals!BO102)</f>
        <v>-2062.3688187696</v>
      </c>
      <c r="BO282" s="21" t="n">
        <f aca="false">IF(ISBLANK(Actuals!BP102),-1905.31*Escalation!$B$64,Actuals!BP102)</f>
        <v>-2062.3688187696</v>
      </c>
      <c r="BP282" s="21" t="n">
        <f aca="false">IF(ISBLANK(Actuals!BQ102),-1905.31*Escalation!$B$65,Actuals!BQ102)</f>
        <v>-2062.3688187696</v>
      </c>
      <c r="BQ282" s="21" t="n">
        <f aca="false">IF(ISBLANK(Actuals!BR102),-1905.31*Escalation!$B$66,Actuals!BR102)</f>
        <v>-2062.3688187696</v>
      </c>
      <c r="BR282" s="21" t="n">
        <f aca="false">IF(ISBLANK(Actuals!BS102),-1905.31*Escalation!$B$67,Actuals!BS102)</f>
        <v>-2062.3688187696</v>
      </c>
      <c r="BS282" s="21" t="n">
        <f aca="false">IF(ISBLANK(Actuals!BT102),-1905.31*Escalation!$B$68,Actuals!BT102)</f>
        <v>-2062.3688187696</v>
      </c>
      <c r="BT282" s="21" t="n">
        <f aca="false">IF(ISBLANK(Actuals!BU102),-1905.31*Escalation!$B$69,Actuals!BU102)</f>
        <v>-2062.3688187696</v>
      </c>
      <c r="BU282" s="21" t="n">
        <f aca="false">IF(ISBLANK(Actuals!BV102),-1905.31*Escalation!$B$70,Actuals!BV102)</f>
        <v>-2062.3688187696</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-2103.61619514499</v>
      </c>
      <c r="BZ282" s="21" t="n">
        <f aca="false">IF(ISBLANK(Actuals!CA102),-1905.31*Escalation!$B$75,Actuals!CA102)</f>
        <v>-2103.61619514499</v>
      </c>
      <c r="CA282" s="21" t="n">
        <f aca="false">IF(ISBLANK(Actuals!CB102),-1905.31*Escalation!$B$76,Actuals!CB102)</f>
        <v>-2103.61619514499</v>
      </c>
      <c r="CB282" s="21" t="n">
        <f aca="false">IF(ISBLANK(Actuals!CC102),-1905.31*Escalation!$B$77,Actuals!CC102)</f>
        <v>-2103.61619514499</v>
      </c>
      <c r="CC282" s="21" t="n">
        <f aca="false">IF(ISBLANK(Actuals!CD102),-1905.31*Escalation!$B$78,Actuals!CD102)</f>
        <v>-2103.61619514499</v>
      </c>
      <c r="CD282" s="21" t="n">
        <f aca="false">IF(ISBLANK(Actuals!CE102),-1905.31*Escalation!$B$79,Actuals!CE102)</f>
        <v>-2103.61619514499</v>
      </c>
      <c r="CE282" s="21" t="n">
        <f aca="false">IF(ISBLANK(Actuals!CF102),-1905.31*Escalation!$B$80,Actuals!CF102)</f>
        <v>-2103.61619514499</v>
      </c>
      <c r="CF282" s="21" t="n">
        <f aca="false">IF(ISBLANK(Actuals!CG102),-1905.31*Escalation!$B$81,Actuals!CG102)</f>
        <v>-2103.61619514499</v>
      </c>
      <c r="CG282" s="21" t="n">
        <f aca="false">IF(ISBLANK(Actuals!CH102),-1905.31*Escalation!$B$82,Actuals!CH102)</f>
        <v>-2103.61619514499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-2145.68851904789</v>
      </c>
      <c r="CL282" s="21" t="n">
        <f aca="false">IF(ISBLANK(Actuals!CM102),-1905.31*Escalation!$B$87,Actuals!CM102)</f>
        <v>-2145.68851904789</v>
      </c>
      <c r="CM282" s="21" t="n">
        <f aca="false">IF(ISBLANK(Actuals!CN102),-1905.31*Escalation!$B$88,Actuals!CN102)</f>
        <v>-2145.68851904789</v>
      </c>
      <c r="CN282" s="21" t="n">
        <f aca="false">IF(ISBLANK(Actuals!CO102),-1905.31*Escalation!$B$89,Actuals!CO102)</f>
        <v>-2145.68851904789</v>
      </c>
      <c r="CO282" s="21" t="n">
        <f aca="false">IF(ISBLANK(Actuals!CP102),-1905.31*Escalation!$B$90,Actuals!CP102)</f>
        <v>-2145.68851904789</v>
      </c>
      <c r="CP282" s="21" t="n">
        <f aca="false">IF(ISBLANK(Actuals!CQ102),-1905.31*Escalation!$B$91,Actuals!CQ102)</f>
        <v>-2145.68851904789</v>
      </c>
      <c r="CQ282" s="21" t="n">
        <f aca="false">IF(ISBLANK(Actuals!CR102),-1905.31*Escalation!$B$92,Actuals!CR102)</f>
        <v>-2145.68851904789</v>
      </c>
      <c r="CR282" s="21" t="n">
        <f aca="false">IF(ISBLANK(Actuals!CS102),-1905.31*Escalation!$B$93,Actuals!CS102)</f>
        <v>-2145.68851904789</v>
      </c>
      <c r="CS282" s="21" t="n">
        <f aca="false">IF(ISBLANK(Actuals!CT102),-1905.31*Escalation!$B$94,Actuals!CT102)</f>
        <v>-2145.68851904789</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-2188.60228942885</v>
      </c>
      <c r="CX282" s="21" t="n">
        <f aca="false">IF(ISBLANK(Actuals!CY102),-1905.31*Escalation!$B$99,Actuals!CY102)</f>
        <v>-2188.60228942885</v>
      </c>
      <c r="CY282" s="21" t="n">
        <f aca="false">IF(ISBLANK(Actuals!CZ102),-1905.31*Escalation!$B$100,Actuals!CZ102)</f>
        <v>-2188.60228942885</v>
      </c>
      <c r="CZ282" s="21" t="n">
        <f aca="false">IF(ISBLANK(Actuals!DA102),-1905.31*Escalation!$B$101,Actuals!DA102)</f>
        <v>-2188.60228942885</v>
      </c>
      <c r="DA282" s="21" t="n">
        <f aca="false">IF(ISBLANK(Actuals!DB102),-1905.31*Escalation!$B$102,Actuals!DB102)</f>
        <v>-2188.60228942885</v>
      </c>
      <c r="DB282" s="21" t="n">
        <f aca="false">IF(ISBLANK(Actuals!DC102),-1905.31*Escalation!$B$103,Actuals!DC102)</f>
        <v>-2188.60228942885</v>
      </c>
      <c r="DC282" s="21" t="n">
        <f aca="false">IF(ISBLANK(Actuals!DD102),-1905.31*Escalation!$B$104,Actuals!DD102)</f>
        <v>-2188.60228942885</v>
      </c>
      <c r="DD282" s="21" t="n">
        <f aca="false">IF(ISBLANK(Actuals!DE102),-1905.31*Escalation!$B$105,Actuals!DE102)</f>
        <v>-2188.60228942885</v>
      </c>
      <c r="DE282" s="21" t="n">
        <f aca="false">IF(ISBLANK(Actuals!DF102),-1905.31*Escalation!$B$106,Actuals!DF102)</f>
        <v>-2188.60228942885</v>
      </c>
    </row>
    <row r="283" customFormat="false" ht="15" hidden="false" customHeight="true" outlineLevel="0" collapsed="false">
      <c r="A283" s="35" t="s">
        <v>133</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-2100</v>
      </c>
      <c r="R283" s="21" t="n">
        <f aca="false">IF(ISBLANK(Actuals!S103),-2100*Escalation!$B$15,Actuals!S103)</f>
        <v>-2100</v>
      </c>
      <c r="S283" s="21" t="n">
        <f aca="false">IF(ISBLANK(Actuals!T103),-2100*Escalation!$B$16,Actuals!T103)</f>
        <v>-2100</v>
      </c>
      <c r="T283" s="21" t="n">
        <f aca="false">IF(ISBLANK(Actuals!U103),-2100*Escalation!$B$17,Actuals!U103)</f>
        <v>-2100</v>
      </c>
      <c r="U283" s="21" t="n">
        <f aca="false">IF(ISBLANK(Actuals!V103),-2100*Escalation!$B$18,Actuals!V103)</f>
        <v>-2100</v>
      </c>
      <c r="V283" s="21" t="n">
        <f aca="false">IF(ISBLANK(Actuals!W103),-2100*Escalation!$B$19,Actuals!W103)</f>
        <v>-2100</v>
      </c>
      <c r="W283" s="21" t="n">
        <f aca="false">IF(ISBLANK(Actuals!X103),-2100*Escalation!$B$20,Actuals!X103)</f>
        <v>-2100</v>
      </c>
      <c r="X283" s="21" t="n">
        <f aca="false">IF(ISBLANK(Actuals!Y103),-2100*Escalation!$B$21,Actuals!Y103)</f>
        <v>-2100</v>
      </c>
      <c r="Y283" s="21" t="n">
        <f aca="false">IF(ISBLANK(Actuals!Z103),-2100*Escalation!$B$22,Actuals!Z103)</f>
        <v>-2100</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-2142</v>
      </c>
      <c r="AD283" s="21" t="n">
        <f aca="false">IF(ISBLANK(Actuals!AE103),-2100*Escalation!$B$27,Actuals!AE103)</f>
        <v>-2142</v>
      </c>
      <c r="AE283" s="21" t="n">
        <f aca="false">IF(ISBLANK(Actuals!AF103),-2100*Escalation!$B$28,Actuals!AF103)</f>
        <v>-2142</v>
      </c>
      <c r="AF283" s="21" t="n">
        <f aca="false">IF(ISBLANK(Actuals!AG103),-2100*Escalation!$B$29,Actuals!AG103)</f>
        <v>-2142</v>
      </c>
      <c r="AG283" s="21" t="n">
        <f aca="false">IF(ISBLANK(Actuals!AH103),-2100*Escalation!$B$30,Actuals!AH103)</f>
        <v>-2142</v>
      </c>
      <c r="AH283" s="21" t="n">
        <f aca="false">IF(ISBLANK(Actuals!AI103),-2100*Escalation!$B$31,Actuals!AI103)</f>
        <v>-2142</v>
      </c>
      <c r="AI283" s="21" t="n">
        <f aca="false">IF(ISBLANK(Actuals!AJ103),-2100*Escalation!$B$32,Actuals!AJ103)</f>
        <v>-2142</v>
      </c>
      <c r="AJ283" s="21" t="n">
        <f aca="false">IF(ISBLANK(Actuals!AK103),-2100*Escalation!$B$33,Actuals!AK103)</f>
        <v>-2142</v>
      </c>
      <c r="AK283" s="21" t="n">
        <f aca="false">IF(ISBLANK(Actuals!AL103),-2100*Escalation!$B$34,Actuals!AL103)</f>
        <v>-2142</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-2184.84</v>
      </c>
      <c r="AP283" s="21" t="n">
        <f aca="false">IF(ISBLANK(Actuals!AQ103),-2100*Escalation!$B$39,Actuals!AQ103)</f>
        <v>-2184.84</v>
      </c>
      <c r="AQ283" s="21" t="n">
        <f aca="false">IF(ISBLANK(Actuals!AR103),-2100*Escalation!$B$40,Actuals!AR103)</f>
        <v>-2184.84</v>
      </c>
      <c r="AR283" s="21" t="n">
        <f aca="false">IF(ISBLANK(Actuals!AS103),-2100*Escalation!$B$41,Actuals!AS103)</f>
        <v>-2184.84</v>
      </c>
      <c r="AS283" s="21" t="n">
        <f aca="false">IF(ISBLANK(Actuals!AT103),-2100*Escalation!$B$42,Actuals!AT103)</f>
        <v>-2184.84</v>
      </c>
      <c r="AT283" s="21" t="n">
        <f aca="false">IF(ISBLANK(Actuals!AU103),-2100*Escalation!$B$43,Actuals!AU103)</f>
        <v>-2184.84</v>
      </c>
      <c r="AU283" s="21" t="n">
        <f aca="false">IF(ISBLANK(Actuals!AV103),-2100*Escalation!$B$44,Actuals!AV103)</f>
        <v>-2184.84</v>
      </c>
      <c r="AV283" s="21" t="n">
        <f aca="false">IF(ISBLANK(Actuals!AW103),-2100*Escalation!$B$45,Actuals!AW103)</f>
        <v>-2184.84</v>
      </c>
      <c r="AW283" s="21" t="n">
        <f aca="false">IF(ISBLANK(Actuals!AX103),-2100*Escalation!$B$46,Actuals!AX103)</f>
        <v>-2184.84</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-2228.5368</v>
      </c>
      <c r="BB283" s="21" t="n">
        <f aca="false">IF(ISBLANK(Actuals!BC103),-2100*Escalation!$B$51,Actuals!BC103)</f>
        <v>-2228.5368</v>
      </c>
      <c r="BC283" s="21" t="n">
        <f aca="false">IF(ISBLANK(Actuals!BD103),-2100*Escalation!$B$52,Actuals!BD103)</f>
        <v>-2228.5368</v>
      </c>
      <c r="BD283" s="21" t="n">
        <f aca="false">IF(ISBLANK(Actuals!BE103),-2100*Escalation!$B$53,Actuals!BE103)</f>
        <v>-2228.5368</v>
      </c>
      <c r="BE283" s="21" t="n">
        <f aca="false">IF(ISBLANK(Actuals!BF103),-2100*Escalation!$B$54,Actuals!BF103)</f>
        <v>-2228.5368</v>
      </c>
      <c r="BF283" s="21" t="n">
        <f aca="false">IF(ISBLANK(Actuals!BG103),-2100*Escalation!$B$55,Actuals!BG103)</f>
        <v>-2228.5368</v>
      </c>
      <c r="BG283" s="21" t="n">
        <f aca="false">IF(ISBLANK(Actuals!BH103),-2100*Escalation!$B$56,Actuals!BH103)</f>
        <v>-2228.5368</v>
      </c>
      <c r="BH283" s="21" t="n">
        <f aca="false">IF(ISBLANK(Actuals!BI103),-2100*Escalation!$B$57,Actuals!BI103)</f>
        <v>-2228.5368</v>
      </c>
      <c r="BI283" s="21" t="n">
        <f aca="false">IF(ISBLANK(Actuals!BJ103),-2100*Escalation!$B$58,Actuals!BJ103)</f>
        <v>-2228.5368</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-2273.107536</v>
      </c>
      <c r="BN283" s="21" t="n">
        <f aca="false">IF(ISBLANK(Actuals!BO103),-2100*Escalation!$B$63,Actuals!BO103)</f>
        <v>-2273.107536</v>
      </c>
      <c r="BO283" s="21" t="n">
        <f aca="false">IF(ISBLANK(Actuals!BP103),-2100*Escalation!$B$64,Actuals!BP103)</f>
        <v>-2273.107536</v>
      </c>
      <c r="BP283" s="21" t="n">
        <f aca="false">IF(ISBLANK(Actuals!BQ103),-2100*Escalation!$B$65,Actuals!BQ103)</f>
        <v>-2273.107536</v>
      </c>
      <c r="BQ283" s="21" t="n">
        <f aca="false">IF(ISBLANK(Actuals!BR103),-2100*Escalation!$B$66,Actuals!BR103)</f>
        <v>-2273.107536</v>
      </c>
      <c r="BR283" s="21" t="n">
        <f aca="false">IF(ISBLANK(Actuals!BS103),-2100*Escalation!$B$67,Actuals!BS103)</f>
        <v>-2273.107536</v>
      </c>
      <c r="BS283" s="21" t="n">
        <f aca="false">IF(ISBLANK(Actuals!BT103),-2100*Escalation!$B$68,Actuals!BT103)</f>
        <v>-2273.107536</v>
      </c>
      <c r="BT283" s="21" t="n">
        <f aca="false">IF(ISBLANK(Actuals!BU103),-2100*Escalation!$B$69,Actuals!BU103)</f>
        <v>-2273.107536</v>
      </c>
      <c r="BU283" s="21" t="n">
        <f aca="false">IF(ISBLANK(Actuals!BV103),-2100*Escalation!$B$70,Actuals!BV103)</f>
        <v>-2273.107536</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-2318.56968672</v>
      </c>
      <c r="BZ283" s="21" t="n">
        <f aca="false">IF(ISBLANK(Actuals!CA103),-2100*Escalation!$B$75,Actuals!CA103)</f>
        <v>-2318.56968672</v>
      </c>
      <c r="CA283" s="21" t="n">
        <f aca="false">IF(ISBLANK(Actuals!CB103),-2100*Escalation!$B$76,Actuals!CB103)</f>
        <v>-2318.56968672</v>
      </c>
      <c r="CB283" s="21" t="n">
        <f aca="false">IF(ISBLANK(Actuals!CC103),-2100*Escalation!$B$77,Actuals!CC103)</f>
        <v>-2318.56968672</v>
      </c>
      <c r="CC283" s="21" t="n">
        <f aca="false">IF(ISBLANK(Actuals!CD103),-2100*Escalation!$B$78,Actuals!CD103)</f>
        <v>-2318.56968672</v>
      </c>
      <c r="CD283" s="21" t="n">
        <f aca="false">IF(ISBLANK(Actuals!CE103),-2100*Escalation!$B$79,Actuals!CE103)</f>
        <v>-2318.56968672</v>
      </c>
      <c r="CE283" s="21" t="n">
        <f aca="false">IF(ISBLANK(Actuals!CF103),-2100*Escalation!$B$80,Actuals!CF103)</f>
        <v>-2318.56968672</v>
      </c>
      <c r="CF283" s="21" t="n">
        <f aca="false">IF(ISBLANK(Actuals!CG103),-2100*Escalation!$B$81,Actuals!CG103)</f>
        <v>-2318.56968672</v>
      </c>
      <c r="CG283" s="21" t="n">
        <f aca="false">IF(ISBLANK(Actuals!CH103),-2100*Escalation!$B$82,Actuals!CH103)</f>
        <v>-2318.56968672</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-2364.9410804544</v>
      </c>
      <c r="CL283" s="21" t="n">
        <f aca="false">IF(ISBLANK(Actuals!CM103),-2100*Escalation!$B$87,Actuals!CM103)</f>
        <v>-2364.9410804544</v>
      </c>
      <c r="CM283" s="21" t="n">
        <f aca="false">IF(ISBLANK(Actuals!CN103),-2100*Escalation!$B$88,Actuals!CN103)</f>
        <v>-2364.9410804544</v>
      </c>
      <c r="CN283" s="21" t="n">
        <f aca="false">IF(ISBLANK(Actuals!CO103),-2100*Escalation!$B$89,Actuals!CO103)</f>
        <v>-2364.9410804544</v>
      </c>
      <c r="CO283" s="21" t="n">
        <f aca="false">IF(ISBLANK(Actuals!CP103),-2100*Escalation!$B$90,Actuals!CP103)</f>
        <v>-2364.9410804544</v>
      </c>
      <c r="CP283" s="21" t="n">
        <f aca="false">IF(ISBLANK(Actuals!CQ103),-2100*Escalation!$B$91,Actuals!CQ103)</f>
        <v>-2364.9410804544</v>
      </c>
      <c r="CQ283" s="21" t="n">
        <f aca="false">IF(ISBLANK(Actuals!CR103),-2100*Escalation!$B$92,Actuals!CR103)</f>
        <v>-2364.9410804544</v>
      </c>
      <c r="CR283" s="21" t="n">
        <f aca="false">IF(ISBLANK(Actuals!CS103),-2100*Escalation!$B$93,Actuals!CS103)</f>
        <v>-2364.9410804544</v>
      </c>
      <c r="CS283" s="21" t="n">
        <f aca="false">IF(ISBLANK(Actuals!CT103),-2100*Escalation!$B$94,Actuals!CT103)</f>
        <v>-2364.9410804544</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-2412.23990206349</v>
      </c>
      <c r="CX283" s="21" t="n">
        <f aca="false">IF(ISBLANK(Actuals!CY103),-2100*Escalation!$B$99,Actuals!CY103)</f>
        <v>-2412.23990206349</v>
      </c>
      <c r="CY283" s="21" t="n">
        <f aca="false">IF(ISBLANK(Actuals!CZ103),-2100*Escalation!$B$100,Actuals!CZ103)</f>
        <v>-2412.23990206349</v>
      </c>
      <c r="CZ283" s="21" t="n">
        <f aca="false">IF(ISBLANK(Actuals!DA103),-2100*Escalation!$B$101,Actuals!DA103)</f>
        <v>-2412.23990206349</v>
      </c>
      <c r="DA283" s="21" t="n">
        <f aca="false">IF(ISBLANK(Actuals!DB103),-2100*Escalation!$B$102,Actuals!DB103)</f>
        <v>-2412.23990206349</v>
      </c>
      <c r="DB283" s="21" t="n">
        <f aca="false">IF(ISBLANK(Actuals!DC103),-2100*Escalation!$B$103,Actuals!DC103)</f>
        <v>-2412.23990206349</v>
      </c>
      <c r="DC283" s="21" t="n">
        <f aca="false">IF(ISBLANK(Actuals!DD103),-2100*Escalation!$B$104,Actuals!DD103)</f>
        <v>-2412.23990206349</v>
      </c>
      <c r="DD283" s="21" t="n">
        <f aca="false">IF(ISBLANK(Actuals!DE103),-2100*Escalation!$B$105,Actuals!DE103)</f>
        <v>-2412.23990206349</v>
      </c>
      <c r="DE283" s="21" t="n">
        <f aca="false">IF(ISBLANK(Actuals!DF103),-2100*Escalation!$B$106,Actuals!DF103)</f>
        <v>-2412.23990206349</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-66666.6666666667</v>
      </c>
      <c r="R284" s="21" t="n">
        <f aca="false">IF(ISBLANK(Actuals!S104),(-(SUMPRODUCT((Personnel!$O$9:$O$100="SP-Fee")*(Personnel!$G$9:$G$100="Yes")*(14&gt;=Personnel!$E$9:$E$100)*((Personnel!$K$9:$K$100="")+(14&lt;=Personnel!$K$9:$K$100)&gt;0)*Personnel!$D$9:$D$100*(1-Personnel!$I$9:$I$100))))*Escalation!$B$15,Actuals!S104)</f>
        <v>-66666.6666666667</v>
      </c>
      <c r="S284" s="21" t="n">
        <f aca="false">IF(ISBLANK(Actuals!T104),(-(SUMPRODUCT((Personnel!$O$9:$O$100="SP-Fee")*(Personnel!$G$9:$G$100="Yes")*(15&gt;=Personnel!$E$9:$E$100)*((Personnel!$K$9:$K$100="")+(15&lt;=Personnel!$K$9:$K$100)&gt;0)*Personnel!$D$9:$D$100*(1-Personnel!$I$9:$I$100))))*Escalation!$B$16,Actuals!T104)</f>
        <v>-66666.6666666667</v>
      </c>
      <c r="T284" s="21" t="n">
        <f aca="false">IF(ISBLANK(Actuals!U104),(-(SUMPRODUCT((Personnel!$O$9:$O$100="SP-Fee")*(Personnel!$G$9:$G$100="Yes")*(16&gt;=Personnel!$E$9:$E$100)*((Personnel!$K$9:$K$100="")+(16&lt;=Personnel!$K$9:$K$100)&gt;0)*Personnel!$D$9:$D$100*(1-Personnel!$I$9:$I$100))))*Escalation!$B$17,Actuals!U104)</f>
        <v>-66666.6666666667</v>
      </c>
      <c r="U284" s="21" t="n">
        <f aca="false">IF(ISBLANK(Actuals!V104),(-(SUMPRODUCT((Personnel!$O$9:$O$100="SP-Fee")*(Personnel!$G$9:$G$100="Yes")*(17&gt;=Personnel!$E$9:$E$100)*((Personnel!$K$9:$K$100="")+(17&lt;=Personnel!$K$9:$K$100)&gt;0)*Personnel!$D$9:$D$100*(1-Personnel!$I$9:$I$100))))*Escalation!$B$18,Actuals!V104)</f>
        <v>-66666.6666666667</v>
      </c>
      <c r="V284" s="21" t="n">
        <f aca="false">IF(ISBLANK(Actuals!W104),(-(SUMPRODUCT((Personnel!$O$9:$O$100="SP-Fee")*(Personnel!$G$9:$G$100="Yes")*(18&gt;=Personnel!$E$9:$E$100)*((Personnel!$K$9:$K$100="")+(18&lt;=Personnel!$K$9:$K$100)&gt;0)*Personnel!$D$9:$D$100*(1-Personnel!$I$9:$I$100))))*Escalation!$B$19,Actuals!W104)</f>
        <v>-66666.6666666667</v>
      </c>
      <c r="W284" s="21" t="n">
        <f aca="false">IF(ISBLANK(Actuals!X104),(-(SUMPRODUCT((Personnel!$O$9:$O$100="SP-Fee")*(Personnel!$G$9:$G$100="Yes")*(19&gt;=Personnel!$E$9:$E$100)*((Personnel!$K$9:$K$100="")+(19&lt;=Personnel!$K$9:$K$100)&gt;0)*Personnel!$D$9:$D$100*(1-Personnel!$I$9:$I$100))))*Escalation!$B$20,Actuals!X104)</f>
        <v>-66666.6666666667</v>
      </c>
      <c r="X284" s="21" t="n">
        <f aca="false">IF(ISBLANK(Actuals!Y104),(-(SUMPRODUCT((Personnel!$O$9:$O$100="SP-Fee")*(Personnel!$G$9:$G$100="Yes")*(20&gt;=Personnel!$E$9:$E$100)*((Personnel!$K$9:$K$100="")+(20&lt;=Personnel!$K$9:$K$100)&gt;0)*Personnel!$D$9:$D$100*(1-Personnel!$I$9:$I$100))))*Escalation!$B$21,Actuals!Y104)</f>
        <v>-66666.6666666667</v>
      </c>
      <c r="Y284" s="21" t="n">
        <f aca="false">IF(ISBLANK(Actuals!Z104),(-(SUMPRODUCT((Personnel!$O$9:$O$100="SP-Fee")*(Personnel!$G$9:$G$100="Yes")*(21&gt;=Personnel!$E$9:$E$100)*((Personnel!$K$9:$K$100="")+(21&lt;=Personnel!$K$9:$K$100)&gt;0)*Personnel!$D$9:$D$100*(1-Personnel!$I$9:$I$100))))*Escalation!$B$22,Actuals!Z104)</f>
        <v>-66666.6666666667</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-68000</v>
      </c>
      <c r="AD284" s="21" t="n">
        <f aca="false">IF(ISBLANK(Actuals!AE104),(-(SUMPRODUCT((Personnel!$O$9:$O$100="SP-Fee")*(Personnel!$G$9:$G$100="Yes")*(26&gt;=Personnel!$E$9:$E$100)*((Personnel!$K$9:$K$100="")+(26&lt;=Personnel!$K$9:$K$100)&gt;0)*Personnel!$D$9:$D$100*(1-Personnel!$I$9:$I$100))))*Escalation!$B$27,Actuals!AE104)</f>
        <v>-68000</v>
      </c>
      <c r="AE284" s="21" t="n">
        <f aca="false">IF(ISBLANK(Actuals!AF104),(-(SUMPRODUCT((Personnel!$O$9:$O$100="SP-Fee")*(Personnel!$G$9:$G$100="Yes")*(27&gt;=Personnel!$E$9:$E$100)*((Personnel!$K$9:$K$100="")+(27&lt;=Personnel!$K$9:$K$100)&gt;0)*Personnel!$D$9:$D$100*(1-Personnel!$I$9:$I$100))))*Escalation!$B$28,Actuals!AF104)</f>
        <v>-68000</v>
      </c>
      <c r="AF284" s="21" t="n">
        <f aca="false">IF(ISBLANK(Actuals!AG104),(-(SUMPRODUCT((Personnel!$O$9:$O$100="SP-Fee")*(Personnel!$G$9:$G$100="Yes")*(28&gt;=Personnel!$E$9:$E$100)*((Personnel!$K$9:$K$100="")+(28&lt;=Personnel!$K$9:$K$100)&gt;0)*Personnel!$D$9:$D$100*(1-Personnel!$I$9:$I$100))))*Escalation!$B$29,Actuals!AG104)</f>
        <v>-68000</v>
      </c>
      <c r="AG284" s="21" t="n">
        <f aca="false">IF(ISBLANK(Actuals!AH104),(-(SUMPRODUCT((Personnel!$O$9:$O$100="SP-Fee")*(Personnel!$G$9:$G$100="Yes")*(29&gt;=Personnel!$E$9:$E$100)*((Personnel!$K$9:$K$100="")+(29&lt;=Personnel!$K$9:$K$100)&gt;0)*Personnel!$D$9:$D$100*(1-Personnel!$I$9:$I$100))))*Escalation!$B$30,Actuals!AH104)</f>
        <v>-68000</v>
      </c>
      <c r="AH284" s="21" t="n">
        <f aca="false">IF(ISBLANK(Actuals!AI104),(-(SUMPRODUCT((Personnel!$O$9:$O$100="SP-Fee")*(Personnel!$G$9:$G$100="Yes")*(30&gt;=Personnel!$E$9:$E$100)*((Personnel!$K$9:$K$100="")+(30&lt;=Personnel!$K$9:$K$100)&gt;0)*Personnel!$D$9:$D$100*(1-Personnel!$I$9:$I$100))))*Escalation!$B$31,Actuals!AI104)</f>
        <v>-68000</v>
      </c>
      <c r="AI284" s="21" t="n">
        <f aca="false">IF(ISBLANK(Actuals!AJ104),(-(SUMPRODUCT((Personnel!$O$9:$O$100="SP-Fee")*(Personnel!$G$9:$G$100="Yes")*(31&gt;=Personnel!$E$9:$E$100)*((Personnel!$K$9:$K$100="")+(31&lt;=Personnel!$K$9:$K$100)&gt;0)*Personnel!$D$9:$D$100*(1-Personnel!$I$9:$I$100))))*Escalation!$B$32,Actuals!AJ104)</f>
        <v>-68000</v>
      </c>
      <c r="AJ284" s="21" t="n">
        <f aca="false">IF(ISBLANK(Actuals!AK104),(-(SUMPRODUCT((Personnel!$O$9:$O$100="SP-Fee")*(Personnel!$G$9:$G$100="Yes")*(32&gt;=Personnel!$E$9:$E$100)*((Personnel!$K$9:$K$100="")+(32&lt;=Personnel!$K$9:$K$100)&gt;0)*Personnel!$D$9:$D$100*(1-Personnel!$I$9:$I$100))))*Escalation!$B$33,Actuals!AK104)</f>
        <v>-68000</v>
      </c>
      <c r="AK284" s="21" t="n">
        <f aca="false">IF(ISBLANK(Actuals!AL104),(-(SUMPRODUCT((Personnel!$O$9:$O$100="SP-Fee")*(Personnel!$G$9:$G$100="Yes")*(33&gt;=Personnel!$E$9:$E$100)*((Personnel!$K$9:$K$100="")+(33&lt;=Personnel!$K$9:$K$100)&gt;0)*Personnel!$D$9:$D$100*(1-Personnel!$I$9:$I$100))))*Escalation!$B$34,Actuals!AL104)</f>
        <v>-68000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-69360</v>
      </c>
      <c r="AP284" s="21" t="n">
        <f aca="false">IF(ISBLANK(Actuals!AQ104),(-(SUMPRODUCT((Personnel!$O$9:$O$100="SP-Fee")*(Personnel!$G$9:$G$100="Yes")*(38&gt;=Personnel!$E$9:$E$100)*((Personnel!$K$9:$K$100="")+(38&lt;=Personnel!$K$9:$K$100)&gt;0)*Personnel!$D$9:$D$100*(1-Personnel!$I$9:$I$100))))*Escalation!$B$39,Actuals!AQ104)</f>
        <v>-69360</v>
      </c>
      <c r="AQ284" s="21" t="n">
        <f aca="false">IF(ISBLANK(Actuals!AR104),(-(SUMPRODUCT((Personnel!$O$9:$O$100="SP-Fee")*(Personnel!$G$9:$G$100="Yes")*(39&gt;=Personnel!$E$9:$E$100)*((Personnel!$K$9:$K$100="")+(39&lt;=Personnel!$K$9:$K$100)&gt;0)*Personnel!$D$9:$D$100*(1-Personnel!$I$9:$I$100))))*Escalation!$B$40,Actuals!AR104)</f>
        <v>-69360</v>
      </c>
      <c r="AR284" s="21" t="n">
        <f aca="false">IF(ISBLANK(Actuals!AS104),(-(SUMPRODUCT((Personnel!$O$9:$O$100="SP-Fee")*(Personnel!$G$9:$G$100="Yes")*(40&gt;=Personnel!$E$9:$E$100)*((Personnel!$K$9:$K$100="")+(40&lt;=Personnel!$K$9:$K$100)&gt;0)*Personnel!$D$9:$D$100*(1-Personnel!$I$9:$I$100))))*Escalation!$B$41,Actuals!AS104)</f>
        <v>-69360</v>
      </c>
      <c r="AS284" s="21" t="n">
        <f aca="false">IF(ISBLANK(Actuals!AT104),(-(SUMPRODUCT((Personnel!$O$9:$O$100="SP-Fee")*(Personnel!$G$9:$G$100="Yes")*(41&gt;=Personnel!$E$9:$E$100)*((Personnel!$K$9:$K$100="")+(41&lt;=Personnel!$K$9:$K$100)&gt;0)*Personnel!$D$9:$D$100*(1-Personnel!$I$9:$I$100))))*Escalation!$B$42,Actuals!AT104)</f>
        <v>-69360</v>
      </c>
      <c r="AT284" s="21" t="n">
        <f aca="false">IF(ISBLANK(Actuals!AU104),(-(SUMPRODUCT((Personnel!$O$9:$O$100="SP-Fee")*(Personnel!$G$9:$G$100="Yes")*(42&gt;=Personnel!$E$9:$E$100)*((Personnel!$K$9:$K$100="")+(42&lt;=Personnel!$K$9:$K$100)&gt;0)*Personnel!$D$9:$D$100*(1-Personnel!$I$9:$I$100))))*Escalation!$B$43,Actuals!AU104)</f>
        <v>-69360</v>
      </c>
      <c r="AU284" s="21" t="n">
        <f aca="false">IF(ISBLANK(Actuals!AV104),(-(SUMPRODUCT((Personnel!$O$9:$O$100="SP-Fee")*(Personnel!$G$9:$G$100="Yes")*(43&gt;=Personnel!$E$9:$E$100)*((Personnel!$K$9:$K$100="")+(43&lt;=Personnel!$K$9:$K$100)&gt;0)*Personnel!$D$9:$D$100*(1-Personnel!$I$9:$I$100))))*Escalation!$B$44,Actuals!AV104)</f>
        <v>-69360</v>
      </c>
      <c r="AV284" s="21" t="n">
        <f aca="false">IF(ISBLANK(Actuals!AW104),(-(SUMPRODUCT((Personnel!$O$9:$O$100="SP-Fee")*(Personnel!$G$9:$G$100="Yes")*(44&gt;=Personnel!$E$9:$E$100)*((Personnel!$K$9:$K$100="")+(44&lt;=Personnel!$K$9:$K$100)&gt;0)*Personnel!$D$9:$D$100*(1-Personnel!$I$9:$I$100))))*Escalation!$B$45,Actuals!AW104)</f>
        <v>-69360</v>
      </c>
      <c r="AW284" s="21" t="n">
        <f aca="false">IF(ISBLANK(Actuals!AX104),(-(SUMPRODUCT((Personnel!$O$9:$O$100="SP-Fee")*(Personnel!$G$9:$G$100="Yes")*(45&gt;=Personnel!$E$9:$E$100)*((Personnel!$K$9:$K$100="")+(45&lt;=Personnel!$K$9:$K$100)&gt;0)*Personnel!$D$9:$D$100*(1-Personnel!$I$9:$I$100))))*Escalation!$B$46,Actuals!AX104)</f>
        <v>-69360</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-70747.2</v>
      </c>
      <c r="BB284" s="21" t="n">
        <f aca="false">IF(ISBLANK(Actuals!BC104),(-(SUMPRODUCT((Personnel!$O$9:$O$100="SP-Fee")*(Personnel!$G$9:$G$100="Yes")*(50&gt;=Personnel!$E$9:$E$100)*((Personnel!$K$9:$K$100="")+(50&lt;=Personnel!$K$9:$K$100)&gt;0)*Personnel!$D$9:$D$100*(1-Personnel!$I$9:$I$100))))*Escalation!$B$51,Actuals!BC104)</f>
        <v>-70747.2</v>
      </c>
      <c r="BC284" s="21" t="n">
        <f aca="false">IF(ISBLANK(Actuals!BD104),(-(SUMPRODUCT((Personnel!$O$9:$O$100="SP-Fee")*(Personnel!$G$9:$G$100="Yes")*(51&gt;=Personnel!$E$9:$E$100)*((Personnel!$K$9:$K$100="")+(51&lt;=Personnel!$K$9:$K$100)&gt;0)*Personnel!$D$9:$D$100*(1-Personnel!$I$9:$I$100))))*Escalation!$B$52,Actuals!BD104)</f>
        <v>-70747.2</v>
      </c>
      <c r="BD284" s="21" t="n">
        <f aca="false">IF(ISBLANK(Actuals!BE104),(-(SUMPRODUCT((Personnel!$O$9:$O$100="SP-Fee")*(Personnel!$G$9:$G$100="Yes")*(52&gt;=Personnel!$E$9:$E$100)*((Personnel!$K$9:$K$100="")+(52&lt;=Personnel!$K$9:$K$100)&gt;0)*Personnel!$D$9:$D$100*(1-Personnel!$I$9:$I$100))))*Escalation!$B$53,Actuals!BE104)</f>
        <v>-70747.2</v>
      </c>
      <c r="BE284" s="21" t="n">
        <f aca="false">IF(ISBLANK(Actuals!BF104),(-(SUMPRODUCT((Personnel!$O$9:$O$100="SP-Fee")*(Personnel!$G$9:$G$100="Yes")*(53&gt;=Personnel!$E$9:$E$100)*((Personnel!$K$9:$K$100="")+(53&lt;=Personnel!$K$9:$K$100)&gt;0)*Personnel!$D$9:$D$100*(1-Personnel!$I$9:$I$100))))*Escalation!$B$54,Actuals!BF104)</f>
        <v>-70747.2</v>
      </c>
      <c r="BF284" s="21" t="n">
        <f aca="false">IF(ISBLANK(Actuals!BG104),(-(SUMPRODUCT((Personnel!$O$9:$O$100="SP-Fee")*(Personnel!$G$9:$G$100="Yes")*(54&gt;=Personnel!$E$9:$E$100)*((Personnel!$K$9:$K$100="")+(54&lt;=Personnel!$K$9:$K$100)&gt;0)*Personnel!$D$9:$D$100*(1-Personnel!$I$9:$I$100))))*Escalation!$B$55,Actuals!BG104)</f>
        <v>-70747.2</v>
      </c>
      <c r="BG284" s="21" t="n">
        <f aca="false">IF(ISBLANK(Actuals!BH104),(-(SUMPRODUCT((Personnel!$O$9:$O$100="SP-Fee")*(Personnel!$G$9:$G$100="Yes")*(55&gt;=Personnel!$E$9:$E$100)*((Personnel!$K$9:$K$100="")+(55&lt;=Personnel!$K$9:$K$100)&gt;0)*Personnel!$D$9:$D$100*(1-Personnel!$I$9:$I$100))))*Escalation!$B$56,Actuals!BH104)</f>
        <v>-70747.2</v>
      </c>
      <c r="BH284" s="21" t="n">
        <f aca="false">IF(ISBLANK(Actuals!BI104),(-(SUMPRODUCT((Personnel!$O$9:$O$100="SP-Fee")*(Personnel!$G$9:$G$100="Yes")*(56&gt;=Personnel!$E$9:$E$100)*((Personnel!$K$9:$K$100="")+(56&lt;=Personnel!$K$9:$K$100)&gt;0)*Personnel!$D$9:$D$100*(1-Personnel!$I$9:$I$100))))*Escalation!$B$57,Actuals!BI104)</f>
        <v>-70747.2</v>
      </c>
      <c r="BI284" s="21" t="n">
        <f aca="false">IF(ISBLANK(Actuals!BJ104),(-(SUMPRODUCT((Personnel!$O$9:$O$100="SP-Fee")*(Personnel!$G$9:$G$100="Yes")*(57&gt;=Personnel!$E$9:$E$100)*((Personnel!$K$9:$K$100="")+(57&lt;=Personnel!$K$9:$K$100)&gt;0)*Personnel!$D$9:$D$100*(1-Personnel!$I$9:$I$100))))*Escalation!$B$58,Actuals!BJ104)</f>
        <v>-70747.2</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-72162.144</v>
      </c>
      <c r="BN284" s="21" t="n">
        <f aca="false">IF(ISBLANK(Actuals!BO104),(-(SUMPRODUCT((Personnel!$O$9:$O$100="SP-Fee")*(Personnel!$G$9:$G$100="Yes")*(62&gt;=Personnel!$E$9:$E$100)*((Personnel!$K$9:$K$100="")+(62&lt;=Personnel!$K$9:$K$100)&gt;0)*Personnel!$D$9:$D$100*(1-Personnel!$I$9:$I$100))))*Escalation!$B$63,Actuals!BO104)</f>
        <v>-72162.144</v>
      </c>
      <c r="BO284" s="21" t="n">
        <f aca="false">IF(ISBLANK(Actuals!BP104),(-(SUMPRODUCT((Personnel!$O$9:$O$100="SP-Fee")*(Personnel!$G$9:$G$100="Yes")*(63&gt;=Personnel!$E$9:$E$100)*((Personnel!$K$9:$K$100="")+(63&lt;=Personnel!$K$9:$K$100)&gt;0)*Personnel!$D$9:$D$100*(1-Personnel!$I$9:$I$100))))*Escalation!$B$64,Actuals!BP104)</f>
        <v>-72162.144</v>
      </c>
      <c r="BP284" s="21" t="n">
        <f aca="false">IF(ISBLANK(Actuals!BQ104),(-(SUMPRODUCT((Personnel!$O$9:$O$100="SP-Fee")*(Personnel!$G$9:$G$100="Yes")*(64&gt;=Personnel!$E$9:$E$100)*((Personnel!$K$9:$K$100="")+(64&lt;=Personnel!$K$9:$K$100)&gt;0)*Personnel!$D$9:$D$100*(1-Personnel!$I$9:$I$100))))*Escalation!$B$65,Actuals!BQ104)</f>
        <v>-72162.144</v>
      </c>
      <c r="BQ284" s="21" t="n">
        <f aca="false">IF(ISBLANK(Actuals!BR104),(-(SUMPRODUCT((Personnel!$O$9:$O$100="SP-Fee")*(Personnel!$G$9:$G$100="Yes")*(65&gt;=Personnel!$E$9:$E$100)*((Personnel!$K$9:$K$100="")+(65&lt;=Personnel!$K$9:$K$100)&gt;0)*Personnel!$D$9:$D$100*(1-Personnel!$I$9:$I$100))))*Escalation!$B$66,Actuals!BR104)</f>
        <v>-72162.144</v>
      </c>
      <c r="BR284" s="21" t="n">
        <f aca="false">IF(ISBLANK(Actuals!BS104),(-(SUMPRODUCT((Personnel!$O$9:$O$100="SP-Fee")*(Personnel!$G$9:$G$100="Yes")*(66&gt;=Personnel!$E$9:$E$100)*((Personnel!$K$9:$K$100="")+(66&lt;=Personnel!$K$9:$K$100)&gt;0)*Personnel!$D$9:$D$100*(1-Personnel!$I$9:$I$100))))*Escalation!$B$67,Actuals!BS104)</f>
        <v>-72162.144</v>
      </c>
      <c r="BS284" s="21" t="n">
        <f aca="false">IF(ISBLANK(Actuals!BT104),(-(SUMPRODUCT((Personnel!$O$9:$O$100="SP-Fee")*(Personnel!$G$9:$G$100="Yes")*(67&gt;=Personnel!$E$9:$E$100)*((Personnel!$K$9:$K$100="")+(67&lt;=Personnel!$K$9:$K$100)&gt;0)*Personnel!$D$9:$D$100*(1-Personnel!$I$9:$I$100))))*Escalation!$B$68,Actuals!BT104)</f>
        <v>-72162.144</v>
      </c>
      <c r="BT284" s="21" t="n">
        <f aca="false">IF(ISBLANK(Actuals!BU104),(-(SUMPRODUCT((Personnel!$O$9:$O$100="SP-Fee")*(Personnel!$G$9:$G$100="Yes")*(68&gt;=Personnel!$E$9:$E$100)*((Personnel!$K$9:$K$100="")+(68&lt;=Personnel!$K$9:$K$100)&gt;0)*Personnel!$D$9:$D$100*(1-Personnel!$I$9:$I$100))))*Escalation!$B$69,Actuals!BU104)</f>
        <v>-72162.144</v>
      </c>
      <c r="BU284" s="21" t="n">
        <f aca="false">IF(ISBLANK(Actuals!BV104),(-(SUMPRODUCT((Personnel!$O$9:$O$100="SP-Fee")*(Personnel!$G$9:$G$100="Yes")*(69&gt;=Personnel!$E$9:$E$100)*((Personnel!$K$9:$K$100="")+(69&lt;=Personnel!$K$9:$K$100)&gt;0)*Personnel!$D$9:$D$100*(1-Personnel!$I$9:$I$100))))*Escalation!$B$70,Actuals!BV104)</f>
        <v>-72162.144</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-73605.38688</v>
      </c>
      <c r="BZ284" s="21" t="n">
        <f aca="false">IF(ISBLANK(Actuals!CA104),(-(SUMPRODUCT((Personnel!$O$9:$O$100="SP-Fee")*(Personnel!$G$9:$G$100="Yes")*(74&gt;=Personnel!$E$9:$E$100)*((Personnel!$K$9:$K$100="")+(74&lt;=Personnel!$K$9:$K$100)&gt;0)*Personnel!$D$9:$D$100*(1-Personnel!$I$9:$I$100))))*Escalation!$B$75,Actuals!CA104)</f>
        <v>-73605.38688</v>
      </c>
      <c r="CA284" s="21" t="n">
        <f aca="false">IF(ISBLANK(Actuals!CB104),(-(SUMPRODUCT((Personnel!$O$9:$O$100="SP-Fee")*(Personnel!$G$9:$G$100="Yes")*(75&gt;=Personnel!$E$9:$E$100)*((Personnel!$K$9:$K$100="")+(75&lt;=Personnel!$K$9:$K$100)&gt;0)*Personnel!$D$9:$D$100*(1-Personnel!$I$9:$I$100))))*Escalation!$B$76,Actuals!CB104)</f>
        <v>-73605.38688</v>
      </c>
      <c r="CB284" s="21" t="n">
        <f aca="false">IF(ISBLANK(Actuals!CC104),(-(SUMPRODUCT((Personnel!$O$9:$O$100="SP-Fee")*(Personnel!$G$9:$G$100="Yes")*(76&gt;=Personnel!$E$9:$E$100)*((Personnel!$K$9:$K$100="")+(76&lt;=Personnel!$K$9:$K$100)&gt;0)*Personnel!$D$9:$D$100*(1-Personnel!$I$9:$I$100))))*Escalation!$B$77,Actuals!CC104)</f>
        <v>-73605.38688</v>
      </c>
      <c r="CC284" s="21" t="n">
        <f aca="false">IF(ISBLANK(Actuals!CD104),(-(SUMPRODUCT((Personnel!$O$9:$O$100="SP-Fee")*(Personnel!$G$9:$G$100="Yes")*(77&gt;=Personnel!$E$9:$E$100)*((Personnel!$K$9:$K$100="")+(77&lt;=Personnel!$K$9:$K$100)&gt;0)*Personnel!$D$9:$D$100*(1-Personnel!$I$9:$I$100))))*Escalation!$B$78,Actuals!CD104)</f>
        <v>-73605.38688</v>
      </c>
      <c r="CD284" s="21" t="n">
        <f aca="false">IF(ISBLANK(Actuals!CE104),(-(SUMPRODUCT((Personnel!$O$9:$O$100="SP-Fee")*(Personnel!$G$9:$G$100="Yes")*(78&gt;=Personnel!$E$9:$E$100)*((Personnel!$K$9:$K$100="")+(78&lt;=Personnel!$K$9:$K$100)&gt;0)*Personnel!$D$9:$D$100*(1-Personnel!$I$9:$I$100))))*Escalation!$B$79,Actuals!CE104)</f>
        <v>-73605.38688</v>
      </c>
      <c r="CE284" s="21" t="n">
        <f aca="false">IF(ISBLANK(Actuals!CF104),(-(SUMPRODUCT((Personnel!$O$9:$O$100="SP-Fee")*(Personnel!$G$9:$G$100="Yes")*(79&gt;=Personnel!$E$9:$E$100)*((Personnel!$K$9:$K$100="")+(79&lt;=Personnel!$K$9:$K$100)&gt;0)*Personnel!$D$9:$D$100*(1-Personnel!$I$9:$I$100))))*Escalation!$B$80,Actuals!CF104)</f>
        <v>-73605.38688</v>
      </c>
      <c r="CF284" s="21" t="n">
        <f aca="false">IF(ISBLANK(Actuals!CG104),(-(SUMPRODUCT((Personnel!$O$9:$O$100="SP-Fee")*(Personnel!$G$9:$G$100="Yes")*(80&gt;=Personnel!$E$9:$E$100)*((Personnel!$K$9:$K$100="")+(80&lt;=Personnel!$K$9:$K$100)&gt;0)*Personnel!$D$9:$D$100*(1-Personnel!$I$9:$I$100))))*Escalation!$B$81,Actuals!CG104)</f>
        <v>-73605.38688</v>
      </c>
      <c r="CG284" s="21" t="n">
        <f aca="false">IF(ISBLANK(Actuals!CH104),(-(SUMPRODUCT((Personnel!$O$9:$O$100="SP-Fee")*(Personnel!$G$9:$G$100="Yes")*(81&gt;=Personnel!$E$9:$E$100)*((Personnel!$K$9:$K$100="")+(81&lt;=Personnel!$K$9:$K$100)&gt;0)*Personnel!$D$9:$D$100*(1-Personnel!$I$9:$I$100))))*Escalation!$B$82,Actuals!CH104)</f>
        <v>-73605.38688</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-75077.4946176</v>
      </c>
      <c r="CL284" s="21" t="n">
        <f aca="false">IF(ISBLANK(Actuals!CM104),(-(SUMPRODUCT((Personnel!$O$9:$O$100="SP-Fee")*(Personnel!$G$9:$G$100="Yes")*(86&gt;=Personnel!$E$9:$E$100)*((Personnel!$K$9:$K$100="")+(86&lt;=Personnel!$K$9:$K$100)&gt;0)*Personnel!$D$9:$D$100*(1-Personnel!$I$9:$I$100))))*Escalation!$B$87,Actuals!CM104)</f>
        <v>-75077.4946176</v>
      </c>
      <c r="CM284" s="21" t="n">
        <f aca="false">IF(ISBLANK(Actuals!CN104),(-(SUMPRODUCT((Personnel!$O$9:$O$100="SP-Fee")*(Personnel!$G$9:$G$100="Yes")*(87&gt;=Personnel!$E$9:$E$100)*((Personnel!$K$9:$K$100="")+(87&lt;=Personnel!$K$9:$K$100)&gt;0)*Personnel!$D$9:$D$100*(1-Personnel!$I$9:$I$100))))*Escalation!$B$88,Actuals!CN104)</f>
        <v>-75077.4946176</v>
      </c>
      <c r="CN284" s="21" t="n">
        <f aca="false">IF(ISBLANK(Actuals!CO104),(-(SUMPRODUCT((Personnel!$O$9:$O$100="SP-Fee")*(Personnel!$G$9:$G$100="Yes")*(88&gt;=Personnel!$E$9:$E$100)*((Personnel!$K$9:$K$100="")+(88&lt;=Personnel!$K$9:$K$100)&gt;0)*Personnel!$D$9:$D$100*(1-Personnel!$I$9:$I$100))))*Escalation!$B$89,Actuals!CO104)</f>
        <v>-75077.4946176</v>
      </c>
      <c r="CO284" s="21" t="n">
        <f aca="false">IF(ISBLANK(Actuals!CP104),(-(SUMPRODUCT((Personnel!$O$9:$O$100="SP-Fee")*(Personnel!$G$9:$G$100="Yes")*(89&gt;=Personnel!$E$9:$E$100)*((Personnel!$K$9:$K$100="")+(89&lt;=Personnel!$K$9:$K$100)&gt;0)*Personnel!$D$9:$D$100*(1-Personnel!$I$9:$I$100))))*Escalation!$B$90,Actuals!CP104)</f>
        <v>-75077.4946176</v>
      </c>
      <c r="CP284" s="21" t="n">
        <f aca="false">IF(ISBLANK(Actuals!CQ104),(-(SUMPRODUCT((Personnel!$O$9:$O$100="SP-Fee")*(Personnel!$G$9:$G$100="Yes")*(90&gt;=Personnel!$E$9:$E$100)*((Personnel!$K$9:$K$100="")+(90&lt;=Personnel!$K$9:$K$100)&gt;0)*Personnel!$D$9:$D$100*(1-Personnel!$I$9:$I$100))))*Escalation!$B$91,Actuals!CQ104)</f>
        <v>-75077.4946176</v>
      </c>
      <c r="CQ284" s="21" t="n">
        <f aca="false">IF(ISBLANK(Actuals!CR104),(-(SUMPRODUCT((Personnel!$O$9:$O$100="SP-Fee")*(Personnel!$G$9:$G$100="Yes")*(91&gt;=Personnel!$E$9:$E$100)*((Personnel!$K$9:$K$100="")+(91&lt;=Personnel!$K$9:$K$100)&gt;0)*Personnel!$D$9:$D$100*(1-Personnel!$I$9:$I$100))))*Escalation!$B$92,Actuals!CR104)</f>
        <v>-75077.4946176</v>
      </c>
      <c r="CR284" s="21" t="n">
        <f aca="false">IF(ISBLANK(Actuals!CS104),(-(SUMPRODUCT((Personnel!$O$9:$O$100="SP-Fee")*(Personnel!$G$9:$G$100="Yes")*(92&gt;=Personnel!$E$9:$E$100)*((Personnel!$K$9:$K$100="")+(92&lt;=Personnel!$K$9:$K$100)&gt;0)*Personnel!$D$9:$D$100*(1-Personnel!$I$9:$I$100))))*Escalation!$B$93,Actuals!CS104)</f>
        <v>-75077.4946176</v>
      </c>
      <c r="CS284" s="21" t="n">
        <f aca="false">IF(ISBLANK(Actuals!CT104),(-(SUMPRODUCT((Personnel!$O$9:$O$100="SP-Fee")*(Personnel!$G$9:$G$100="Yes")*(93&gt;=Personnel!$E$9:$E$100)*((Personnel!$K$9:$K$100="")+(93&lt;=Personnel!$K$9:$K$100)&gt;0)*Personnel!$D$9:$D$100*(1-Personnel!$I$9:$I$100))))*Escalation!$B$94,Actuals!CT104)</f>
        <v>-75077.4946176</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-76579.044509952</v>
      </c>
      <c r="CX284" s="21" t="n">
        <f aca="false">IF(ISBLANK(Actuals!CY104),(-(SUMPRODUCT((Personnel!$O$9:$O$100="SP-Fee")*(Personnel!$G$9:$G$100="Yes")*(98&gt;=Personnel!$E$9:$E$100)*((Personnel!$K$9:$K$100="")+(98&lt;=Personnel!$K$9:$K$100)&gt;0)*Personnel!$D$9:$D$100*(1-Personnel!$I$9:$I$100))))*Escalation!$B$99,Actuals!CY104)</f>
        <v>-76579.044509952</v>
      </c>
      <c r="CY284" s="21" t="n">
        <f aca="false">IF(ISBLANK(Actuals!CZ104),(-(SUMPRODUCT((Personnel!$O$9:$O$100="SP-Fee")*(Personnel!$G$9:$G$100="Yes")*(99&gt;=Personnel!$E$9:$E$100)*((Personnel!$K$9:$K$100="")+(99&lt;=Personnel!$K$9:$K$100)&gt;0)*Personnel!$D$9:$D$100*(1-Personnel!$I$9:$I$100))))*Escalation!$B$100,Actuals!CZ104)</f>
        <v>-76579.044509952</v>
      </c>
      <c r="CZ284" s="21" t="n">
        <f aca="false">IF(ISBLANK(Actuals!DA104),(-(SUMPRODUCT((Personnel!$O$9:$O$100="SP-Fee")*(Personnel!$G$9:$G$100="Yes")*(100&gt;=Personnel!$E$9:$E$100)*((Personnel!$K$9:$K$100="")+(100&lt;=Personnel!$K$9:$K$100)&gt;0)*Personnel!$D$9:$D$100*(1-Personnel!$I$9:$I$100))))*Escalation!$B$101,Actuals!DA104)</f>
        <v>-76579.044509952</v>
      </c>
      <c r="DA284" s="21" t="n">
        <f aca="false">IF(ISBLANK(Actuals!DB104),(-(SUMPRODUCT((Personnel!$O$9:$O$100="SP-Fee")*(Personnel!$G$9:$G$100="Yes")*(101&gt;=Personnel!$E$9:$E$100)*((Personnel!$K$9:$K$100="")+(101&lt;=Personnel!$K$9:$K$100)&gt;0)*Personnel!$D$9:$D$100*(1-Personnel!$I$9:$I$100))))*Escalation!$B$102,Actuals!DB104)</f>
        <v>-76579.044509952</v>
      </c>
      <c r="DB284" s="21" t="n">
        <f aca="false">IF(ISBLANK(Actuals!DC104),(-(SUMPRODUCT((Personnel!$O$9:$O$100="SP-Fee")*(Personnel!$G$9:$G$100="Yes")*(102&gt;=Personnel!$E$9:$E$100)*((Personnel!$K$9:$K$100="")+(102&lt;=Personnel!$K$9:$K$100)&gt;0)*Personnel!$D$9:$D$100*(1-Personnel!$I$9:$I$100))))*Escalation!$B$103,Actuals!DC104)</f>
        <v>-76579.044509952</v>
      </c>
      <c r="DC284" s="21" t="n">
        <f aca="false">IF(ISBLANK(Actuals!DD104),(-(SUMPRODUCT((Personnel!$O$9:$O$100="SP-Fee")*(Personnel!$G$9:$G$100="Yes")*(103&gt;=Personnel!$E$9:$E$100)*((Personnel!$K$9:$K$100="")+(103&lt;=Personnel!$K$9:$K$100)&gt;0)*Personnel!$D$9:$D$100*(1-Personnel!$I$9:$I$100))))*Escalation!$B$104,Actuals!DD104)</f>
        <v>-76579.044509952</v>
      </c>
      <c r="DD284" s="21" t="n">
        <f aca="false">IF(ISBLANK(Actuals!DE104),(-(SUMPRODUCT((Personnel!$O$9:$O$100="SP-Fee")*(Personnel!$G$9:$G$100="Yes")*(104&gt;=Personnel!$E$9:$E$100)*((Personnel!$K$9:$K$100="")+(104&lt;=Personnel!$K$9:$K$100)&gt;0)*Personnel!$D$9:$D$100*(1-Personnel!$I$9:$I$100))))*Escalation!$B$105,Actuals!DE104)</f>
        <v>-76579.044509952</v>
      </c>
      <c r="DE284" s="21" t="n">
        <f aca="false">IF(ISBLANK(Actuals!DF104),(-(SUMPRODUCT((Personnel!$O$9:$O$100="SP-Fee")*(Personnel!$G$9:$G$100="Yes")*(105&gt;=Personnel!$E$9:$E$100)*((Personnel!$K$9:$K$100="")+(105&lt;=Personnel!$K$9:$K$100)&gt;0)*Personnel!$D$9:$D$100*(1-Personnel!$I$9:$I$100))))*Escalation!$B$106,Actuals!DF104)</f>
        <v>-76579.044509952</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-3333.33</v>
      </c>
      <c r="R285" s="13" t="n">
        <f aca="false">IF(ISBLANK(Actuals!S105),-3333.33*Escalation!$B$15,Actuals!S105)</f>
        <v>-3333.33</v>
      </c>
      <c r="S285" s="13" t="n">
        <f aca="false">IF(ISBLANK(Actuals!T105),-3333.33*Escalation!$B$16,Actuals!T105)</f>
        <v>-3333.33</v>
      </c>
      <c r="T285" s="13" t="n">
        <f aca="false">IF(ISBLANK(Actuals!U105),-3333.33*Escalation!$B$17,Actuals!U105)</f>
        <v>-3333.33</v>
      </c>
      <c r="U285" s="13" t="n">
        <f aca="false">IF(ISBLANK(Actuals!V105),-3333.33*Escalation!$B$18,Actuals!V105)</f>
        <v>-3333.33</v>
      </c>
      <c r="V285" s="13" t="n">
        <f aca="false">IF(ISBLANK(Actuals!W105),-3333.33*Escalation!$B$19,Actuals!W105)</f>
        <v>-3333.33</v>
      </c>
      <c r="W285" s="13" t="n">
        <f aca="false">IF(ISBLANK(Actuals!X105),-3333.33*Escalation!$B$20,Actuals!X105)</f>
        <v>-3333.33</v>
      </c>
      <c r="X285" s="13" t="n">
        <f aca="false">IF(ISBLANK(Actuals!Y105),-3333.33*Escalation!$B$21,Actuals!Y105)</f>
        <v>-3333.33</v>
      </c>
      <c r="Y285" s="13" t="n">
        <f aca="false">IF(ISBLANK(Actuals!Z105),-3333.33*Escalation!$B$22,Actuals!Z105)</f>
        <v>-3333.33</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-3399.9966</v>
      </c>
      <c r="AD285" s="13" t="n">
        <f aca="false">IF(ISBLANK(Actuals!AE105),-3333.33*Escalation!$B$27,Actuals!AE105)</f>
        <v>-3399.9966</v>
      </c>
      <c r="AE285" s="13" t="n">
        <f aca="false">IF(ISBLANK(Actuals!AF105),-3333.33*Escalation!$B$28,Actuals!AF105)</f>
        <v>-3399.9966</v>
      </c>
      <c r="AF285" s="13" t="n">
        <f aca="false">IF(ISBLANK(Actuals!AG105),-3333.33*Escalation!$B$29,Actuals!AG105)</f>
        <v>-3399.9966</v>
      </c>
      <c r="AG285" s="13" t="n">
        <f aca="false">IF(ISBLANK(Actuals!AH105),-3333.33*Escalation!$B$30,Actuals!AH105)</f>
        <v>-3399.9966</v>
      </c>
      <c r="AH285" s="13" t="n">
        <f aca="false">IF(ISBLANK(Actuals!AI105),-3333.33*Escalation!$B$31,Actuals!AI105)</f>
        <v>-3399.9966</v>
      </c>
      <c r="AI285" s="13" t="n">
        <f aca="false">IF(ISBLANK(Actuals!AJ105),-3333.33*Escalation!$B$32,Actuals!AJ105)</f>
        <v>-3399.9966</v>
      </c>
      <c r="AJ285" s="13" t="n">
        <f aca="false">IF(ISBLANK(Actuals!AK105),-3333.33*Escalation!$B$33,Actuals!AK105)</f>
        <v>-3399.9966</v>
      </c>
      <c r="AK285" s="13" t="n">
        <f aca="false">IF(ISBLANK(Actuals!AL105),-3333.33*Escalation!$B$34,Actuals!AL105)</f>
        <v>-3399.9966</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-3467.996532</v>
      </c>
      <c r="AP285" s="13" t="n">
        <f aca="false">IF(ISBLANK(Actuals!AQ105),-3333.33*Escalation!$B$39,Actuals!AQ105)</f>
        <v>-3467.996532</v>
      </c>
      <c r="AQ285" s="13" t="n">
        <f aca="false">IF(ISBLANK(Actuals!AR105),-3333.33*Escalation!$B$40,Actuals!AR105)</f>
        <v>-3467.996532</v>
      </c>
      <c r="AR285" s="13" t="n">
        <f aca="false">IF(ISBLANK(Actuals!AS105),-3333.33*Escalation!$B$41,Actuals!AS105)</f>
        <v>-3467.996532</v>
      </c>
      <c r="AS285" s="13" t="n">
        <f aca="false">IF(ISBLANK(Actuals!AT105),-3333.33*Escalation!$B$42,Actuals!AT105)</f>
        <v>-3467.996532</v>
      </c>
      <c r="AT285" s="13" t="n">
        <f aca="false">IF(ISBLANK(Actuals!AU105),-3333.33*Escalation!$B$43,Actuals!AU105)</f>
        <v>-3467.996532</v>
      </c>
      <c r="AU285" s="13" t="n">
        <f aca="false">IF(ISBLANK(Actuals!AV105),-3333.33*Escalation!$B$44,Actuals!AV105)</f>
        <v>-3467.996532</v>
      </c>
      <c r="AV285" s="13" t="n">
        <f aca="false">IF(ISBLANK(Actuals!AW105),-3333.33*Escalation!$B$45,Actuals!AW105)</f>
        <v>-3467.996532</v>
      </c>
      <c r="AW285" s="13" t="n">
        <f aca="false">IF(ISBLANK(Actuals!AX105),-3333.33*Escalation!$B$46,Actuals!AX105)</f>
        <v>-3467.996532</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-3537.35646264</v>
      </c>
      <c r="BB285" s="13" t="n">
        <f aca="false">IF(ISBLANK(Actuals!BC105),-3333.33*Escalation!$B$51,Actuals!BC105)</f>
        <v>-3537.35646264</v>
      </c>
      <c r="BC285" s="13" t="n">
        <f aca="false">IF(ISBLANK(Actuals!BD105),-3333.33*Escalation!$B$52,Actuals!BD105)</f>
        <v>-3537.35646264</v>
      </c>
      <c r="BD285" s="13" t="n">
        <f aca="false">IF(ISBLANK(Actuals!BE105),-3333.33*Escalation!$B$53,Actuals!BE105)</f>
        <v>-3537.35646264</v>
      </c>
      <c r="BE285" s="13" t="n">
        <f aca="false">IF(ISBLANK(Actuals!BF105),-3333.33*Escalation!$B$54,Actuals!BF105)</f>
        <v>-3537.35646264</v>
      </c>
      <c r="BF285" s="13" t="n">
        <f aca="false">IF(ISBLANK(Actuals!BG105),-3333.33*Escalation!$B$55,Actuals!BG105)</f>
        <v>-3537.35646264</v>
      </c>
      <c r="BG285" s="13" t="n">
        <f aca="false">IF(ISBLANK(Actuals!BH105),-3333.33*Escalation!$B$56,Actuals!BH105)</f>
        <v>-3537.35646264</v>
      </c>
      <c r="BH285" s="13" t="n">
        <f aca="false">IF(ISBLANK(Actuals!BI105),-3333.33*Escalation!$B$57,Actuals!BI105)</f>
        <v>-3537.35646264</v>
      </c>
      <c r="BI285" s="13" t="n">
        <f aca="false">IF(ISBLANK(Actuals!BJ105),-3333.33*Escalation!$B$58,Actuals!BJ105)</f>
        <v>-3537.35646264</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-3608.1035918928</v>
      </c>
      <c r="BN285" s="13" t="n">
        <f aca="false">IF(ISBLANK(Actuals!BO105),-3333.33*Escalation!$B$63,Actuals!BO105)</f>
        <v>-3608.1035918928</v>
      </c>
      <c r="BO285" s="13" t="n">
        <f aca="false">IF(ISBLANK(Actuals!BP105),-3333.33*Escalation!$B$64,Actuals!BP105)</f>
        <v>-3608.1035918928</v>
      </c>
      <c r="BP285" s="13" t="n">
        <f aca="false">IF(ISBLANK(Actuals!BQ105),-3333.33*Escalation!$B$65,Actuals!BQ105)</f>
        <v>-3608.1035918928</v>
      </c>
      <c r="BQ285" s="13" t="n">
        <f aca="false">IF(ISBLANK(Actuals!BR105),-3333.33*Escalation!$B$66,Actuals!BR105)</f>
        <v>-3608.1035918928</v>
      </c>
      <c r="BR285" s="13" t="n">
        <f aca="false">IF(ISBLANK(Actuals!BS105),-3333.33*Escalation!$B$67,Actuals!BS105)</f>
        <v>-3608.1035918928</v>
      </c>
      <c r="BS285" s="13" t="n">
        <f aca="false">IF(ISBLANK(Actuals!BT105),-3333.33*Escalation!$B$68,Actuals!BT105)</f>
        <v>-3608.1035918928</v>
      </c>
      <c r="BT285" s="13" t="n">
        <f aca="false">IF(ISBLANK(Actuals!BU105),-3333.33*Escalation!$B$69,Actuals!BU105)</f>
        <v>-3608.1035918928</v>
      </c>
      <c r="BU285" s="13" t="n">
        <f aca="false">IF(ISBLANK(Actuals!BV105),-3333.33*Escalation!$B$70,Actuals!BV105)</f>
        <v>-3608.1035918928</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-3680.26566373066</v>
      </c>
      <c r="BZ285" s="13" t="n">
        <f aca="false">IF(ISBLANK(Actuals!CA105),-3333.33*Escalation!$B$75,Actuals!CA105)</f>
        <v>-3680.26566373066</v>
      </c>
      <c r="CA285" s="13" t="n">
        <f aca="false">IF(ISBLANK(Actuals!CB105),-3333.33*Escalation!$B$76,Actuals!CB105)</f>
        <v>-3680.26566373066</v>
      </c>
      <c r="CB285" s="13" t="n">
        <f aca="false">IF(ISBLANK(Actuals!CC105),-3333.33*Escalation!$B$77,Actuals!CC105)</f>
        <v>-3680.26566373066</v>
      </c>
      <c r="CC285" s="13" t="n">
        <f aca="false">IF(ISBLANK(Actuals!CD105),-3333.33*Escalation!$B$78,Actuals!CD105)</f>
        <v>-3680.26566373066</v>
      </c>
      <c r="CD285" s="13" t="n">
        <f aca="false">IF(ISBLANK(Actuals!CE105),-3333.33*Escalation!$B$79,Actuals!CE105)</f>
        <v>-3680.26566373066</v>
      </c>
      <c r="CE285" s="13" t="n">
        <f aca="false">IF(ISBLANK(Actuals!CF105),-3333.33*Escalation!$B$80,Actuals!CF105)</f>
        <v>-3680.26566373066</v>
      </c>
      <c r="CF285" s="13" t="n">
        <f aca="false">IF(ISBLANK(Actuals!CG105),-3333.33*Escalation!$B$81,Actuals!CG105)</f>
        <v>-3680.26566373066</v>
      </c>
      <c r="CG285" s="13" t="n">
        <f aca="false">IF(ISBLANK(Actuals!CH105),-3333.33*Escalation!$B$82,Actuals!CH105)</f>
        <v>-3680.26566373066</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-3753.87097700527</v>
      </c>
      <c r="CL285" s="13" t="n">
        <f aca="false">IF(ISBLANK(Actuals!CM105),-3333.33*Escalation!$B$87,Actuals!CM105)</f>
        <v>-3753.87097700527</v>
      </c>
      <c r="CM285" s="13" t="n">
        <f aca="false">IF(ISBLANK(Actuals!CN105),-3333.33*Escalation!$B$88,Actuals!CN105)</f>
        <v>-3753.87097700527</v>
      </c>
      <c r="CN285" s="13" t="n">
        <f aca="false">IF(ISBLANK(Actuals!CO105),-3333.33*Escalation!$B$89,Actuals!CO105)</f>
        <v>-3753.87097700527</v>
      </c>
      <c r="CO285" s="13" t="n">
        <f aca="false">IF(ISBLANK(Actuals!CP105),-3333.33*Escalation!$B$90,Actuals!CP105)</f>
        <v>-3753.87097700527</v>
      </c>
      <c r="CP285" s="13" t="n">
        <f aca="false">IF(ISBLANK(Actuals!CQ105),-3333.33*Escalation!$B$91,Actuals!CQ105)</f>
        <v>-3753.87097700527</v>
      </c>
      <c r="CQ285" s="13" t="n">
        <f aca="false">IF(ISBLANK(Actuals!CR105),-3333.33*Escalation!$B$92,Actuals!CR105)</f>
        <v>-3753.87097700527</v>
      </c>
      <c r="CR285" s="13" t="n">
        <f aca="false">IF(ISBLANK(Actuals!CS105),-3333.33*Escalation!$B$93,Actuals!CS105)</f>
        <v>-3753.87097700527</v>
      </c>
      <c r="CS285" s="13" t="n">
        <f aca="false">IF(ISBLANK(Actuals!CT105),-3333.33*Escalation!$B$94,Actuals!CT105)</f>
        <v>-3753.87097700527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-3828.94839654537</v>
      </c>
      <c r="CX285" s="13" t="n">
        <f aca="false">IF(ISBLANK(Actuals!CY105),-3333.33*Escalation!$B$99,Actuals!CY105)</f>
        <v>-3828.94839654537</v>
      </c>
      <c r="CY285" s="13" t="n">
        <f aca="false">IF(ISBLANK(Actuals!CZ105),-3333.33*Escalation!$B$100,Actuals!CZ105)</f>
        <v>-3828.94839654537</v>
      </c>
      <c r="CZ285" s="13" t="n">
        <f aca="false">IF(ISBLANK(Actuals!DA105),-3333.33*Escalation!$B$101,Actuals!DA105)</f>
        <v>-3828.94839654537</v>
      </c>
      <c r="DA285" s="13" t="n">
        <f aca="false">IF(ISBLANK(Actuals!DB105),-3333.33*Escalation!$B$102,Actuals!DB105)</f>
        <v>-3828.94839654537</v>
      </c>
      <c r="DB285" s="13" t="n">
        <f aca="false">IF(ISBLANK(Actuals!DC105),-3333.33*Escalation!$B$103,Actuals!DC105)</f>
        <v>-3828.94839654537</v>
      </c>
      <c r="DC285" s="13" t="n">
        <f aca="false">IF(ISBLANK(Actuals!DD105),-3333.33*Escalation!$B$104,Actuals!DD105)</f>
        <v>-3828.94839654537</v>
      </c>
      <c r="DD285" s="13" t="n">
        <f aca="false">IF(ISBLANK(Actuals!DE105),-3333.33*Escalation!$B$105,Actuals!DE105)</f>
        <v>-3828.94839654537</v>
      </c>
      <c r="DE285" s="13" t="n">
        <f aca="false">IF(ISBLANK(Actuals!DF105),-3333.33*Escalation!$B$106,Actuals!DF105)</f>
        <v>-3828.94839654537</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-446.63</v>
      </c>
      <c r="R286" s="13" t="n">
        <f aca="false">IF(ISBLANK(Actuals!S106),-446.63*Escalation!$B$15,Actuals!S106)</f>
        <v>-446.63</v>
      </c>
      <c r="S286" s="13" t="n">
        <f aca="false">IF(ISBLANK(Actuals!T106),-446.63*Escalation!$B$16,Actuals!T106)</f>
        <v>-446.63</v>
      </c>
      <c r="T286" s="13" t="n">
        <f aca="false">IF(ISBLANK(Actuals!U106),-446.63*Escalation!$B$17,Actuals!U106)</f>
        <v>-446.63</v>
      </c>
      <c r="U286" s="13" t="n">
        <f aca="false">IF(ISBLANK(Actuals!V106),-446.63*Escalation!$B$18,Actuals!V106)</f>
        <v>-446.63</v>
      </c>
      <c r="V286" s="13" t="n">
        <f aca="false">IF(ISBLANK(Actuals!W106),-446.63*Escalation!$B$19,Actuals!W106)</f>
        <v>-446.63</v>
      </c>
      <c r="W286" s="13" t="n">
        <f aca="false">IF(ISBLANK(Actuals!X106),-446.63*Escalation!$B$20,Actuals!X106)</f>
        <v>-446.63</v>
      </c>
      <c r="X286" s="13" t="n">
        <f aca="false">IF(ISBLANK(Actuals!Y106),-446.63*Escalation!$B$21,Actuals!Y106)</f>
        <v>-446.63</v>
      </c>
      <c r="Y286" s="13" t="n">
        <f aca="false">IF(ISBLANK(Actuals!Z106),-446.63*Escalation!$B$22,Actuals!Z106)</f>
        <v>-446.63</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-455.5626</v>
      </c>
      <c r="AD286" s="13" t="n">
        <f aca="false">IF(ISBLANK(Actuals!AE106),-446.63*Escalation!$B$27,Actuals!AE106)</f>
        <v>-455.5626</v>
      </c>
      <c r="AE286" s="13" t="n">
        <f aca="false">IF(ISBLANK(Actuals!AF106),-446.63*Escalation!$B$28,Actuals!AF106)</f>
        <v>-455.5626</v>
      </c>
      <c r="AF286" s="13" t="n">
        <f aca="false">IF(ISBLANK(Actuals!AG106),-446.63*Escalation!$B$29,Actuals!AG106)</f>
        <v>-455.5626</v>
      </c>
      <c r="AG286" s="13" t="n">
        <f aca="false">IF(ISBLANK(Actuals!AH106),-446.63*Escalation!$B$30,Actuals!AH106)</f>
        <v>-455.5626</v>
      </c>
      <c r="AH286" s="13" t="n">
        <f aca="false">IF(ISBLANK(Actuals!AI106),-446.63*Escalation!$B$31,Actuals!AI106)</f>
        <v>-455.5626</v>
      </c>
      <c r="AI286" s="13" t="n">
        <f aca="false">IF(ISBLANK(Actuals!AJ106),-446.63*Escalation!$B$32,Actuals!AJ106)</f>
        <v>-455.5626</v>
      </c>
      <c r="AJ286" s="13" t="n">
        <f aca="false">IF(ISBLANK(Actuals!AK106),-446.63*Escalation!$B$33,Actuals!AK106)</f>
        <v>-455.5626</v>
      </c>
      <c r="AK286" s="13" t="n">
        <f aca="false">IF(ISBLANK(Actuals!AL106),-446.63*Escalation!$B$34,Actuals!AL106)</f>
        <v>-455.5626</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-464.673852</v>
      </c>
      <c r="AP286" s="13" t="n">
        <f aca="false">IF(ISBLANK(Actuals!AQ106),-446.63*Escalation!$B$39,Actuals!AQ106)</f>
        <v>-464.673852</v>
      </c>
      <c r="AQ286" s="13" t="n">
        <f aca="false">IF(ISBLANK(Actuals!AR106),-446.63*Escalation!$B$40,Actuals!AR106)</f>
        <v>-464.673852</v>
      </c>
      <c r="AR286" s="13" t="n">
        <f aca="false">IF(ISBLANK(Actuals!AS106),-446.63*Escalation!$B$41,Actuals!AS106)</f>
        <v>-464.673852</v>
      </c>
      <c r="AS286" s="13" t="n">
        <f aca="false">IF(ISBLANK(Actuals!AT106),-446.63*Escalation!$B$42,Actuals!AT106)</f>
        <v>-464.673852</v>
      </c>
      <c r="AT286" s="13" t="n">
        <f aca="false">IF(ISBLANK(Actuals!AU106),-446.63*Escalation!$B$43,Actuals!AU106)</f>
        <v>-464.673852</v>
      </c>
      <c r="AU286" s="13" t="n">
        <f aca="false">IF(ISBLANK(Actuals!AV106),-446.63*Escalation!$B$44,Actuals!AV106)</f>
        <v>-464.673852</v>
      </c>
      <c r="AV286" s="13" t="n">
        <f aca="false">IF(ISBLANK(Actuals!AW106),-446.63*Escalation!$B$45,Actuals!AW106)</f>
        <v>-464.673852</v>
      </c>
      <c r="AW286" s="13" t="n">
        <f aca="false">IF(ISBLANK(Actuals!AX106),-446.63*Escalation!$B$46,Actuals!AX106)</f>
        <v>-464.673852</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-473.96732904</v>
      </c>
      <c r="BB286" s="13" t="n">
        <f aca="false">IF(ISBLANK(Actuals!BC106),-446.63*Escalation!$B$51,Actuals!BC106)</f>
        <v>-473.96732904</v>
      </c>
      <c r="BC286" s="13" t="n">
        <f aca="false">IF(ISBLANK(Actuals!BD106),-446.63*Escalation!$B$52,Actuals!BD106)</f>
        <v>-473.96732904</v>
      </c>
      <c r="BD286" s="13" t="n">
        <f aca="false">IF(ISBLANK(Actuals!BE106),-446.63*Escalation!$B$53,Actuals!BE106)</f>
        <v>-473.96732904</v>
      </c>
      <c r="BE286" s="13" t="n">
        <f aca="false">IF(ISBLANK(Actuals!BF106),-446.63*Escalation!$B$54,Actuals!BF106)</f>
        <v>-473.96732904</v>
      </c>
      <c r="BF286" s="13" t="n">
        <f aca="false">IF(ISBLANK(Actuals!BG106),-446.63*Escalation!$B$55,Actuals!BG106)</f>
        <v>-473.96732904</v>
      </c>
      <c r="BG286" s="13" t="n">
        <f aca="false">IF(ISBLANK(Actuals!BH106),-446.63*Escalation!$B$56,Actuals!BH106)</f>
        <v>-473.96732904</v>
      </c>
      <c r="BH286" s="13" t="n">
        <f aca="false">IF(ISBLANK(Actuals!BI106),-446.63*Escalation!$B$57,Actuals!BI106)</f>
        <v>-473.96732904</v>
      </c>
      <c r="BI286" s="13" t="n">
        <f aca="false">IF(ISBLANK(Actuals!BJ106),-446.63*Escalation!$B$58,Actuals!BJ106)</f>
        <v>-473.96732904</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-483.4466756208</v>
      </c>
      <c r="BN286" s="13" t="n">
        <f aca="false">IF(ISBLANK(Actuals!BO106),-446.63*Escalation!$B$63,Actuals!BO106)</f>
        <v>-483.4466756208</v>
      </c>
      <c r="BO286" s="13" t="n">
        <f aca="false">IF(ISBLANK(Actuals!BP106),-446.63*Escalation!$B$64,Actuals!BP106)</f>
        <v>-483.4466756208</v>
      </c>
      <c r="BP286" s="13" t="n">
        <f aca="false">IF(ISBLANK(Actuals!BQ106),-446.63*Escalation!$B$65,Actuals!BQ106)</f>
        <v>-483.4466756208</v>
      </c>
      <c r="BQ286" s="13" t="n">
        <f aca="false">IF(ISBLANK(Actuals!BR106),-446.63*Escalation!$B$66,Actuals!BR106)</f>
        <v>-483.4466756208</v>
      </c>
      <c r="BR286" s="13" t="n">
        <f aca="false">IF(ISBLANK(Actuals!BS106),-446.63*Escalation!$B$67,Actuals!BS106)</f>
        <v>-483.4466756208</v>
      </c>
      <c r="BS286" s="13" t="n">
        <f aca="false">IF(ISBLANK(Actuals!BT106),-446.63*Escalation!$B$68,Actuals!BT106)</f>
        <v>-483.4466756208</v>
      </c>
      <c r="BT286" s="13" t="n">
        <f aca="false">IF(ISBLANK(Actuals!BU106),-446.63*Escalation!$B$69,Actuals!BU106)</f>
        <v>-483.4466756208</v>
      </c>
      <c r="BU286" s="13" t="n">
        <f aca="false">IF(ISBLANK(Actuals!BV106),-446.63*Escalation!$B$70,Actuals!BV106)</f>
        <v>-483.4466756208</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-493.115609133216</v>
      </c>
      <c r="BZ286" s="13" t="n">
        <f aca="false">IF(ISBLANK(Actuals!CA106),-446.63*Escalation!$B$75,Actuals!CA106)</f>
        <v>-493.115609133216</v>
      </c>
      <c r="CA286" s="13" t="n">
        <f aca="false">IF(ISBLANK(Actuals!CB106),-446.63*Escalation!$B$76,Actuals!CB106)</f>
        <v>-493.115609133216</v>
      </c>
      <c r="CB286" s="13" t="n">
        <f aca="false">IF(ISBLANK(Actuals!CC106),-446.63*Escalation!$B$77,Actuals!CC106)</f>
        <v>-493.115609133216</v>
      </c>
      <c r="CC286" s="13" t="n">
        <f aca="false">IF(ISBLANK(Actuals!CD106),-446.63*Escalation!$B$78,Actuals!CD106)</f>
        <v>-493.115609133216</v>
      </c>
      <c r="CD286" s="13" t="n">
        <f aca="false">IF(ISBLANK(Actuals!CE106),-446.63*Escalation!$B$79,Actuals!CE106)</f>
        <v>-493.115609133216</v>
      </c>
      <c r="CE286" s="13" t="n">
        <f aca="false">IF(ISBLANK(Actuals!CF106),-446.63*Escalation!$B$80,Actuals!CF106)</f>
        <v>-493.115609133216</v>
      </c>
      <c r="CF286" s="13" t="n">
        <f aca="false">IF(ISBLANK(Actuals!CG106),-446.63*Escalation!$B$81,Actuals!CG106)</f>
        <v>-493.115609133216</v>
      </c>
      <c r="CG286" s="13" t="n">
        <f aca="false">IF(ISBLANK(Actuals!CH106),-446.63*Escalation!$B$82,Actuals!CH106)</f>
        <v>-493.115609133216</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-502.97792131588</v>
      </c>
      <c r="CL286" s="13" t="n">
        <f aca="false">IF(ISBLANK(Actuals!CM106),-446.63*Escalation!$B$87,Actuals!CM106)</f>
        <v>-502.97792131588</v>
      </c>
      <c r="CM286" s="13" t="n">
        <f aca="false">IF(ISBLANK(Actuals!CN106),-446.63*Escalation!$B$88,Actuals!CN106)</f>
        <v>-502.97792131588</v>
      </c>
      <c r="CN286" s="13" t="n">
        <f aca="false">IF(ISBLANK(Actuals!CO106),-446.63*Escalation!$B$89,Actuals!CO106)</f>
        <v>-502.97792131588</v>
      </c>
      <c r="CO286" s="13" t="n">
        <f aca="false">IF(ISBLANK(Actuals!CP106),-446.63*Escalation!$B$90,Actuals!CP106)</f>
        <v>-502.97792131588</v>
      </c>
      <c r="CP286" s="13" t="n">
        <f aca="false">IF(ISBLANK(Actuals!CQ106),-446.63*Escalation!$B$91,Actuals!CQ106)</f>
        <v>-502.97792131588</v>
      </c>
      <c r="CQ286" s="13" t="n">
        <f aca="false">IF(ISBLANK(Actuals!CR106),-446.63*Escalation!$B$92,Actuals!CR106)</f>
        <v>-502.97792131588</v>
      </c>
      <c r="CR286" s="13" t="n">
        <f aca="false">IF(ISBLANK(Actuals!CS106),-446.63*Escalation!$B$93,Actuals!CS106)</f>
        <v>-502.97792131588</v>
      </c>
      <c r="CS286" s="13" t="n">
        <f aca="false">IF(ISBLANK(Actuals!CT106),-446.63*Escalation!$B$94,Actuals!CT106)</f>
        <v>-502.97792131588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-513.037479742198</v>
      </c>
      <c r="CX286" s="13" t="n">
        <f aca="false">IF(ISBLANK(Actuals!CY106),-446.63*Escalation!$B$99,Actuals!CY106)</f>
        <v>-513.037479742198</v>
      </c>
      <c r="CY286" s="13" t="n">
        <f aca="false">IF(ISBLANK(Actuals!CZ106),-446.63*Escalation!$B$100,Actuals!CZ106)</f>
        <v>-513.037479742198</v>
      </c>
      <c r="CZ286" s="13" t="n">
        <f aca="false">IF(ISBLANK(Actuals!DA106),-446.63*Escalation!$B$101,Actuals!DA106)</f>
        <v>-513.037479742198</v>
      </c>
      <c r="DA286" s="13" t="n">
        <f aca="false">IF(ISBLANK(Actuals!DB106),-446.63*Escalation!$B$102,Actuals!DB106)</f>
        <v>-513.037479742198</v>
      </c>
      <c r="DB286" s="13" t="n">
        <f aca="false">IF(ISBLANK(Actuals!DC106),-446.63*Escalation!$B$103,Actuals!DC106)</f>
        <v>-513.037479742198</v>
      </c>
      <c r="DC286" s="13" t="n">
        <f aca="false">IF(ISBLANK(Actuals!DD106),-446.63*Escalation!$B$104,Actuals!DD106)</f>
        <v>-513.037479742198</v>
      </c>
      <c r="DD286" s="13" t="n">
        <f aca="false">IF(ISBLANK(Actuals!DE106),-446.63*Escalation!$B$105,Actuals!DE106)</f>
        <v>-513.037479742198</v>
      </c>
      <c r="DE286" s="13" t="n">
        <f aca="false">IF(ISBLANK(Actuals!DF106),-446.63*Escalation!$B$106,Actuals!DF106)</f>
        <v>-513.037479742198</v>
      </c>
    </row>
    <row r="287" customFormat="false" ht="15" hidden="false" customHeight="true" outlineLevel="0" collapsed="false">
      <c r="A287" s="22" t="s">
        <v>134</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135</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136</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137</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138</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-0</v>
      </c>
      <c r="CB291" s="13" t="n">
        <f aca="false">IF(ISBLANK(Actuals!CC111),-Helpers!BZ26+CB339,Actuals!CC111)</f>
        <v>-0</v>
      </c>
      <c r="CC291" s="13" t="n">
        <f aca="false">IF(ISBLANK(Actuals!CD111),-Helpers!CA26+CC339,Actuals!CD111)</f>
        <v>-0</v>
      </c>
      <c r="CD291" s="13" t="n">
        <f aca="false">IF(ISBLANK(Actuals!CE111),-Helpers!CB26+CD339,Actuals!CE111)</f>
        <v>-0</v>
      </c>
      <c r="CE291" s="13" t="n">
        <f aca="false">IF(ISBLANK(Actuals!CF111),-Helpers!CC26+CE339,Actuals!CF111)</f>
        <v>-0</v>
      </c>
      <c r="CF291" s="13" t="n">
        <f aca="false">IF(ISBLANK(Actuals!CG111),-Helpers!CD26+CF339,Actuals!CG111)</f>
        <v>-0</v>
      </c>
      <c r="CG291" s="13" t="n">
        <f aca="false">IF(ISBLANK(Actuals!CH111),-Helpers!CE26+CG339,Actuals!CH111)</f>
        <v>-0</v>
      </c>
      <c r="CH291" s="13" t="n">
        <f aca="false">IF(ISBLANK(Actuals!CI111),-Helpers!CF26+CH339,Actuals!CI111)</f>
        <v>-0</v>
      </c>
      <c r="CI291" s="13" t="n">
        <f aca="false">IF(ISBLANK(Actuals!CJ111),-Helpers!CG26+CI339,Actuals!CJ111)</f>
        <v>-0</v>
      </c>
      <c r="CJ291" s="13" t="n">
        <f aca="false">IF(ISBLANK(Actuals!CK111),-Helpers!CH26+CJ339,Actuals!CK111)</f>
        <v>-0</v>
      </c>
      <c r="CK291" s="13" t="n">
        <f aca="false">IF(ISBLANK(Actuals!CL111),-Helpers!CI26+CK339,Actuals!CL111)</f>
        <v>-0</v>
      </c>
      <c r="CL291" s="13" t="n">
        <f aca="false">IF(ISBLANK(Actuals!CM111),-Helpers!CJ26+CL339,Actuals!CM111)</f>
        <v>-0</v>
      </c>
      <c r="CM291" s="13" t="n">
        <f aca="false">IF(ISBLANK(Actuals!CN111),-Helpers!CK26+CM339,Actuals!CN111)</f>
        <v>-0</v>
      </c>
      <c r="CN291" s="13" t="n">
        <f aca="false">IF(ISBLANK(Actuals!CO111),-Helpers!CL26+CN339,Actuals!CO111)</f>
        <v>-0</v>
      </c>
      <c r="CO291" s="13" t="n">
        <f aca="false">IF(ISBLANK(Actuals!CP111),-Helpers!CM26+CO339,Actuals!CP111)</f>
        <v>-0</v>
      </c>
      <c r="CP291" s="13" t="n">
        <f aca="false">IF(ISBLANK(Actuals!CQ111),-Helpers!CN26+CP339,Actuals!CQ111)</f>
        <v>-0</v>
      </c>
      <c r="CQ291" s="13" t="n">
        <f aca="false">IF(ISBLANK(Actuals!CR111),-Helpers!CO26+CQ339,Actuals!CR111)</f>
        <v>-0</v>
      </c>
      <c r="CR291" s="13" t="n">
        <f aca="false">IF(ISBLANK(Actuals!CS111),-Helpers!CP26+CR339,Actuals!CS111)</f>
        <v>-0</v>
      </c>
      <c r="CS291" s="13" t="n">
        <f aca="false">IF(ISBLANK(Actuals!CT111),-Helpers!CQ26+CS339,Actuals!CT111)</f>
        <v>-0</v>
      </c>
      <c r="CT291" s="13" t="n">
        <f aca="false">IF(ISBLANK(Actuals!CU111),-Helpers!CR26+CT339,Actuals!CU111)</f>
        <v>-0</v>
      </c>
      <c r="CU291" s="13" t="n">
        <f aca="false">IF(ISBLANK(Actuals!CV111),-Helpers!CS26+CU339,Actuals!CV111)</f>
        <v>-0</v>
      </c>
      <c r="CV291" s="13" t="n">
        <f aca="false">IF(ISBLANK(Actuals!CW111),-Helpers!CT26+CV339,Actuals!CW111)</f>
        <v>-0</v>
      </c>
      <c r="CW291" s="13" t="n">
        <f aca="false">IF(ISBLANK(Actuals!CX111),-Helpers!CU26+CW339,Actuals!CX111)</f>
        <v>-0</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139</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-197545.8</v>
      </c>
      <c r="N292" s="30" t="n">
        <f aca="false">SUM(N263:N291)+Actuals!O113</f>
        <v>-199623.995</v>
      </c>
      <c r="O292" s="30" t="n">
        <f aca="false">SUM(O263:O291)+Actuals!P113</f>
        <v>-197873.995</v>
      </c>
      <c r="P292" s="30" t="n">
        <f aca="false">SUM(P263:P291)+Actuals!Q113</f>
        <v>-197873.995</v>
      </c>
      <c r="Q292" s="30" t="n">
        <f aca="false">SUM(Q263:Q291)+Actuals!R113</f>
        <v>-197873.995</v>
      </c>
      <c r="R292" s="30" t="n">
        <f aca="false">SUM(R263:R291)+Actuals!S113</f>
        <v>-196123.995</v>
      </c>
      <c r="S292" s="30" t="n">
        <f aca="false">SUM(S263:S291)+Actuals!T113</f>
        <v>-196123.995</v>
      </c>
      <c r="T292" s="30" t="n">
        <f aca="false">SUM(T263:T291)+Actuals!U113</f>
        <v>-196123.995</v>
      </c>
      <c r="U292" s="30" t="n">
        <f aca="false">SUM(U263:U291)+Actuals!V113</f>
        <v>-196123.995</v>
      </c>
      <c r="V292" s="30" t="n">
        <f aca="false">SUM(V263:V291)+Actuals!W113</f>
        <v>-196123.995</v>
      </c>
      <c r="W292" s="30" t="n">
        <f aca="false">SUM(W263:W291)+Actuals!X113</f>
        <v>-196123.995</v>
      </c>
      <c r="X292" s="30" t="n">
        <f aca="false">SUM(X263:X291)+Actuals!Y113</f>
        <v>-196123.995</v>
      </c>
      <c r="Y292" s="30" t="n">
        <f aca="false">SUM(Y263:Y291)+Actuals!Z113</f>
        <v>-196123.995</v>
      </c>
      <c r="Z292" s="30" t="n">
        <f aca="false">SUM(Z263:Z291)+Actuals!AA113</f>
        <v>-199703.7149</v>
      </c>
      <c r="AA292" s="30" t="n">
        <f aca="false">SUM(AA263:AA291)+Actuals!AB113</f>
        <v>-199703.7149</v>
      </c>
      <c r="AB292" s="30" t="n">
        <f aca="false">SUM(AB263:AB291)+Actuals!AC113</f>
        <v>-199703.7149</v>
      </c>
      <c r="AC292" s="30" t="n">
        <f aca="false">SUM(AC263:AC291)+Actuals!AD113</f>
        <v>-199703.7149</v>
      </c>
      <c r="AD292" s="30" t="n">
        <f aca="false">SUM(AD263:AD291)+Actuals!AE113</f>
        <v>-199703.7149</v>
      </c>
      <c r="AE292" s="30" t="n">
        <f aca="false">SUM(AE263:AE291)+Actuals!AF113</f>
        <v>-199703.7149</v>
      </c>
      <c r="AF292" s="30" t="n">
        <f aca="false">SUM(AF263:AF291)+Actuals!AG113</f>
        <v>-199703.7149</v>
      </c>
      <c r="AG292" s="30" t="n">
        <f aca="false">SUM(AG263:AG291)+Actuals!AH113</f>
        <v>-199703.7149</v>
      </c>
      <c r="AH292" s="30" t="n">
        <f aca="false">SUM(AH263:AH291)+Actuals!AI113</f>
        <v>-199703.7149</v>
      </c>
      <c r="AI292" s="30" t="n">
        <f aca="false">SUM(AI263:AI291)+Actuals!AJ113</f>
        <v>-199703.7149</v>
      </c>
      <c r="AJ292" s="30" t="n">
        <f aca="false">SUM(AJ263:AJ291)+Actuals!AK113</f>
        <v>-199703.7149</v>
      </c>
      <c r="AK292" s="30" t="n">
        <f aca="false">SUM(AK263:AK291)+Actuals!AL113</f>
        <v>-199703.7149</v>
      </c>
      <c r="AL292" s="30" t="n">
        <f aca="false">SUM(AL263:AL291)+Actuals!AM113</f>
        <v>-203355.029198</v>
      </c>
      <c r="AM292" s="30" t="n">
        <f aca="false">SUM(AM263:AM291)+Actuals!AN113</f>
        <v>-203355.029198</v>
      </c>
      <c r="AN292" s="30" t="n">
        <f aca="false">SUM(AN263:AN291)+Actuals!AO113</f>
        <v>-203355.029198</v>
      </c>
      <c r="AO292" s="30" t="n">
        <f aca="false">SUM(AO263:AO291)+Actuals!AP113</f>
        <v>-203355.029198</v>
      </c>
      <c r="AP292" s="30" t="n">
        <f aca="false">SUM(AP263:AP291)+Actuals!AQ113</f>
        <v>-203355.029198</v>
      </c>
      <c r="AQ292" s="30" t="n">
        <f aca="false">SUM(AQ263:AQ291)+Actuals!AR113</f>
        <v>-203355.029198</v>
      </c>
      <c r="AR292" s="30" t="n">
        <f aca="false">SUM(AR263:AR291)+Actuals!AS113</f>
        <v>-203355.029198</v>
      </c>
      <c r="AS292" s="30" t="n">
        <f aca="false">SUM(AS263:AS291)+Actuals!AT113</f>
        <v>-203355.029198</v>
      </c>
      <c r="AT292" s="30" t="n">
        <f aca="false">SUM(AT263:AT291)+Actuals!AU113</f>
        <v>-285038.029198</v>
      </c>
      <c r="AU292" s="30" t="n">
        <f aca="false">SUM(AU263:AU291)+Actuals!AV113</f>
        <v>-203355.029198</v>
      </c>
      <c r="AV292" s="30" t="n">
        <f aca="false">SUM(AV263:AV291)+Actuals!AW113</f>
        <v>-203355.029198</v>
      </c>
      <c r="AW292" s="30" t="n">
        <f aca="false">SUM(AW263:AW291)+Actuals!AX113</f>
        <v>-285037.029198</v>
      </c>
      <c r="AX292" s="30" t="n">
        <f aca="false">SUM(AX263:AX291)+Actuals!AY113</f>
        <v>-207079.36978196</v>
      </c>
      <c r="AY292" s="30" t="n">
        <f aca="false">SUM(AY263:AY291)+Actuals!AZ113</f>
        <v>-207079.36978196</v>
      </c>
      <c r="AZ292" s="30" t="n">
        <f aca="false">SUM(AZ263:AZ291)+Actuals!BA113</f>
        <v>-288761.36978196</v>
      </c>
      <c r="BA292" s="30" t="n">
        <f aca="false">SUM(BA263:BA291)+Actuals!BB113</f>
        <v>-207079.36978196</v>
      </c>
      <c r="BB292" s="30" t="n">
        <f aca="false">SUM(BB263:BB291)+Actuals!BC113</f>
        <v>-207079.36978196</v>
      </c>
      <c r="BC292" s="30" t="n">
        <f aca="false">SUM(BC263:BC291)+Actuals!BD113</f>
        <v>-1140600.36978196</v>
      </c>
      <c r="BD292" s="30" t="n">
        <f aca="false">SUM(BD263:BD291)+Actuals!BE113</f>
        <v>-207079.36978196</v>
      </c>
      <c r="BE292" s="30" t="n">
        <f aca="false">SUM(BE263:BE291)+Actuals!BF113</f>
        <v>-207079.36978196</v>
      </c>
      <c r="BF292" s="30" t="n">
        <f aca="false">SUM(BF263:BF291)+Actuals!BG113</f>
        <v>-337957.36978196</v>
      </c>
      <c r="BG292" s="30" t="n">
        <f aca="false">SUM(BG263:BG291)+Actuals!BH113</f>
        <v>-207079.36978196</v>
      </c>
      <c r="BH292" s="30" t="n">
        <f aca="false">SUM(BH263:BH291)+Actuals!BI113</f>
        <v>-207079.36978196</v>
      </c>
      <c r="BI292" s="30" t="n">
        <f aca="false">SUM(BI263:BI291)+Actuals!BJ113</f>
        <v>-337955.36978196</v>
      </c>
      <c r="BJ292" s="30" t="n">
        <f aca="false">SUM(BJ263:BJ291)+Actuals!BK113</f>
        <v>-210878.197177599</v>
      </c>
      <c r="BK292" s="30" t="n">
        <f aca="false">SUM(BK263:BK291)+Actuals!BL113</f>
        <v>-210878.197177599</v>
      </c>
      <c r="BL292" s="30" t="n">
        <f aca="false">SUM(BL263:BL291)+Actuals!BM113</f>
        <v>-341754.197177599</v>
      </c>
      <c r="BM292" s="30" t="n">
        <f aca="false">SUM(BM263:BM291)+Actuals!BN113</f>
        <v>-210878.197177599</v>
      </c>
      <c r="BN292" s="30" t="n">
        <f aca="false">SUM(BN263:BN291)+Actuals!BO113</f>
        <v>-210878.197177599</v>
      </c>
      <c r="BO292" s="30" t="n">
        <f aca="false">SUM(BO263:BO291)+Actuals!BP113</f>
        <v>-341754.197177599</v>
      </c>
      <c r="BP292" s="30" t="n">
        <f aca="false">SUM(BP263:BP291)+Actuals!BQ113</f>
        <v>-210878.197177599</v>
      </c>
      <c r="BQ292" s="30" t="n">
        <f aca="false">SUM(BQ263:BQ291)+Actuals!BR113</f>
        <v>-210878.197177599</v>
      </c>
      <c r="BR292" s="30" t="n">
        <f aca="false">SUM(BR263:BR291)+Actuals!BS113</f>
        <v>-300033.847177599</v>
      </c>
      <c r="BS292" s="30" t="n">
        <f aca="false">SUM(BS263:BS291)+Actuals!BT113</f>
        <v>-210878.197177599</v>
      </c>
      <c r="BT292" s="30" t="n">
        <f aca="false">SUM(BT263:BT291)+Actuals!BU113</f>
        <v>-210878.197177599</v>
      </c>
      <c r="BU292" s="30" t="n">
        <f aca="false">SUM(BU263:BU291)+Actuals!BV113</f>
        <v>-285518.197177599</v>
      </c>
      <c r="BV292" s="30" t="n">
        <f aca="false">SUM(BV263:BV291)+Actuals!BW113</f>
        <v>-214753.001121151</v>
      </c>
      <c r="BW292" s="30" t="n">
        <f aca="false">SUM(BW263:BW291)+Actuals!BX113</f>
        <v>-214753.001121151</v>
      </c>
      <c r="BX292" s="30" t="n">
        <f aca="false">SUM(BX263:BX291)+Actuals!BY113</f>
        <v>-289393.001121151</v>
      </c>
      <c r="BY292" s="30" t="n">
        <f aca="false">SUM(BY263:BY291)+Actuals!BZ113</f>
        <v>-214753.001121151</v>
      </c>
      <c r="BZ292" s="30" t="n">
        <f aca="false">SUM(BZ263:BZ291)+Actuals!CA113</f>
        <v>-214753.001121151</v>
      </c>
      <c r="CA292" s="30" t="n">
        <f aca="false">SUM(CA263:CA291)+Actuals!CB113</f>
        <v>-289393.001121151</v>
      </c>
      <c r="CB292" s="30" t="n">
        <f aca="false">SUM(CB263:CB291)+Actuals!CC113</f>
        <v>-214753.001121151</v>
      </c>
      <c r="CC292" s="30" t="n">
        <f aca="false">SUM(CC263:CC291)+Actuals!CD113</f>
        <v>-214753.001121151</v>
      </c>
      <c r="CD292" s="30" t="n">
        <f aca="false">SUM(CD263:CD291)+Actuals!CE113</f>
        <v>-296116.001121151</v>
      </c>
      <c r="CE292" s="30" t="n">
        <f aca="false">SUM(CE263:CE291)+Actuals!CF113</f>
        <v>-214753.001121151</v>
      </c>
      <c r="CF292" s="30" t="n">
        <f aca="false">SUM(CF263:CF291)+Actuals!CG113</f>
        <v>-214753.001121151</v>
      </c>
      <c r="CG292" s="30" t="n">
        <f aca="false">SUM(CG263:CG291)+Actuals!CH113</f>
        <v>-296115.001121151</v>
      </c>
      <c r="CH292" s="30" t="n">
        <f aca="false">SUM(CH263:CH291)+Actuals!CI113</f>
        <v>-218705.301143574</v>
      </c>
      <c r="CI292" s="30" t="n">
        <f aca="false">SUM(CI263:CI291)+Actuals!CJ113</f>
        <v>-218705.301143574</v>
      </c>
      <c r="CJ292" s="30" t="n">
        <f aca="false">SUM(CJ263:CJ291)+Actuals!CK113</f>
        <v>-293459.274537095</v>
      </c>
      <c r="CK292" s="30" t="n">
        <f aca="false">SUM(CK263:CK291)+Actuals!CL113</f>
        <v>-218705.301143574</v>
      </c>
      <c r="CL292" s="30" t="n">
        <f aca="false">SUM(CL263:CL291)+Actuals!CM113</f>
        <v>-218705.301143574</v>
      </c>
      <c r="CM292" s="30" t="n">
        <f aca="false">SUM(CM263:CM291)+Actuals!CN113</f>
        <v>-218705.301143574</v>
      </c>
      <c r="CN292" s="30" t="n">
        <f aca="false">SUM(CN263:CN291)+Actuals!CO113</f>
        <v>-218705.301143574</v>
      </c>
      <c r="CO292" s="30" t="n">
        <f aca="false">SUM(CO263:CO291)+Actuals!CP113</f>
        <v>-218705.301143574</v>
      </c>
      <c r="CP292" s="30" t="n">
        <f aca="false">SUM(CP263:CP291)+Actuals!CQ113</f>
        <v>-218705.301143574</v>
      </c>
      <c r="CQ292" s="30" t="n">
        <f aca="false">SUM(CQ263:CQ291)+Actuals!CR113</f>
        <v>-218705.301143574</v>
      </c>
      <c r="CR292" s="30" t="n">
        <f aca="false">SUM(CR263:CR291)+Actuals!CS113</f>
        <v>-218705.301143574</v>
      </c>
      <c r="CS292" s="30" t="n">
        <f aca="false">SUM(CS263:CS291)+Actuals!CT113</f>
        <v>-218705.301143574</v>
      </c>
      <c r="CT292" s="30" t="n">
        <f aca="false">SUM(CT263:CT291)+Actuals!CU113</f>
        <v>-216757.498956817</v>
      </c>
      <c r="CU292" s="30" t="n">
        <f aca="false">SUM(CU263:CU291)+Actuals!CV113</f>
        <v>-216757.498956817</v>
      </c>
      <c r="CV292" s="30" t="n">
        <f aca="false">SUM(CV263:CV291)+Actuals!CW113</f>
        <v>-216757.498956817</v>
      </c>
      <c r="CW292" s="30" t="n">
        <f aca="false">SUM(CW263:CW291)+Actuals!CX113</f>
        <v>-216757.498956817</v>
      </c>
      <c r="CX292" s="30" t="n">
        <f aca="false">SUM(CX263:CX291)+Actuals!CY113</f>
        <v>-216757.498956817</v>
      </c>
      <c r="CY292" s="30" t="n">
        <f aca="false">SUM(CY263:CY291)+Actuals!CZ113</f>
        <v>-216757.498956817</v>
      </c>
      <c r="CZ292" s="30" t="n">
        <f aca="false">SUM(CZ263:CZ291)+Actuals!DA113</f>
        <v>-216757.498956817</v>
      </c>
      <c r="DA292" s="30" t="n">
        <f aca="false">SUM(DA263:DA291)+Actuals!DB113</f>
        <v>-216757.498956817</v>
      </c>
      <c r="DB292" s="30" t="n">
        <f aca="false">SUM(DB263:DB291)+Actuals!DC113</f>
        <v>-216757.498956817</v>
      </c>
      <c r="DC292" s="30" t="n">
        <f aca="false">SUM(DC263:DC291)+Actuals!DD113</f>
        <v>-216757.498956817</v>
      </c>
      <c r="DD292" s="30" t="n">
        <f aca="false">SUM(DD263:DD291)+Actuals!DE113</f>
        <v>-216757.498956817</v>
      </c>
      <c r="DE292" s="30" t="n">
        <f aca="false">SUM(DE263:DE291)+Actuals!DF113</f>
        <v>-216757.498956817</v>
      </c>
    </row>
    <row r="293" customFormat="false" ht="19.5" hidden="false" customHeight="true" outlineLevel="0" collapsed="false">
      <c r="A293" s="36" t="s">
        <v>140</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-155464.55</v>
      </c>
      <c r="L293" s="37" t="n">
        <f aca="false">L261+L292</f>
        <v>-164839.55</v>
      </c>
      <c r="M293" s="37" t="n">
        <f aca="false">M261+M292</f>
        <v>-164839.55</v>
      </c>
      <c r="N293" s="37" t="n">
        <f aca="false">N261+N292</f>
        <v>-163759.850263158</v>
      </c>
      <c r="O293" s="37" t="n">
        <f aca="false">O261+O292</f>
        <v>-158851.955526316</v>
      </c>
      <c r="P293" s="37" t="n">
        <f aca="false">P261+P292</f>
        <v>-158851.955526316</v>
      </c>
      <c r="Q293" s="37" t="n">
        <f aca="false">Q261+Q292</f>
        <v>-158851.955526316</v>
      </c>
      <c r="R293" s="37" t="n">
        <f aca="false">R261+R292</f>
        <v>-157101.955526316</v>
      </c>
      <c r="S293" s="37" t="n">
        <f aca="false">S261+S292</f>
        <v>-157101.955526316</v>
      </c>
      <c r="T293" s="37" t="n">
        <f aca="false">T261+T292</f>
        <v>-181008.205526316</v>
      </c>
      <c r="U293" s="37" t="n">
        <f aca="false">U261+U292</f>
        <v>-181008.205526316</v>
      </c>
      <c r="V293" s="37" t="n">
        <f aca="false">V261+V292</f>
        <v>-181008.205526316</v>
      </c>
      <c r="W293" s="37" t="n">
        <f aca="false">W261+W292</f>
        <v>-181008.205526316</v>
      </c>
      <c r="X293" s="37" t="n">
        <f aca="false">X261+X292</f>
        <v>-181008.205526316</v>
      </c>
      <c r="Y293" s="37" t="n">
        <f aca="false">Y261+Y292</f>
        <v>-123633.205526316</v>
      </c>
      <c r="Z293" s="37" t="n">
        <f aca="false">Z261+Z292</f>
        <v>-184587.925426316</v>
      </c>
      <c r="AA293" s="37" t="n">
        <f aca="false">AA261+AA292</f>
        <v>-184587.925426316</v>
      </c>
      <c r="AB293" s="37" t="n">
        <f aca="false">AB261+AB292</f>
        <v>-127212.925426316</v>
      </c>
      <c r="AC293" s="37" t="n">
        <f aca="false">AC261+AC292</f>
        <v>-184587.925426316</v>
      </c>
      <c r="AD293" s="37" t="n">
        <f aca="false">AD261+AD292</f>
        <v>-184587.925426316</v>
      </c>
      <c r="AE293" s="37" t="n">
        <f aca="false">AE261+AE292</f>
        <v>-127212.925426316</v>
      </c>
      <c r="AF293" s="37" t="n">
        <f aca="false">AF261+AF292</f>
        <v>-184587.925426316</v>
      </c>
      <c r="AG293" s="37" t="n">
        <f aca="false">AG261+AG292</f>
        <v>-187745.820163158</v>
      </c>
      <c r="AH293" s="37" t="n">
        <f aca="false">AH261+AH292</f>
        <v>-190903.7149</v>
      </c>
      <c r="AI293" s="37" t="n">
        <f aca="false">AI261+AI292</f>
        <v>-199703.7149</v>
      </c>
      <c r="AJ293" s="37" t="n">
        <f aca="false">AJ261+AJ292</f>
        <v>-199703.7149</v>
      </c>
      <c r="AK293" s="37" t="n">
        <f aca="false">AK261+AK292</f>
        <v>-199703.7149</v>
      </c>
      <c r="AL293" s="37" t="n">
        <f aca="false">AL261+AL292</f>
        <v>-203355.029198</v>
      </c>
      <c r="AM293" s="37" t="n">
        <f aca="false">AM261+AM292</f>
        <v>-203355.029198</v>
      </c>
      <c r="AN293" s="37" t="n">
        <f aca="false">AN261+AN292</f>
        <v>-203355.029198</v>
      </c>
      <c r="AO293" s="37" t="n">
        <f aca="false">AO261+AO292</f>
        <v>-203355.029198</v>
      </c>
      <c r="AP293" s="37" t="n">
        <f aca="false">AP261+AP292</f>
        <v>-203355.029198</v>
      </c>
      <c r="AQ293" s="37" t="n">
        <f aca="false">AQ261+AQ292</f>
        <v>-203355.029198</v>
      </c>
      <c r="AR293" s="37" t="n">
        <f aca="false">AR261+AR292</f>
        <v>-203355.029198</v>
      </c>
      <c r="AS293" s="37" t="n">
        <f aca="false">AS261+AS292</f>
        <v>-203355.029198</v>
      </c>
      <c r="AT293" s="37" t="n">
        <f aca="false">AT261+AT292</f>
        <v>-203355.029198</v>
      </c>
      <c r="AU293" s="37" t="n">
        <f aca="false">AU261+AU292</f>
        <v>-203355.029198</v>
      </c>
      <c r="AV293" s="37" t="n">
        <f aca="false">AV261+AV292</f>
        <v>-203355.029198</v>
      </c>
      <c r="AW293" s="37" t="n">
        <f aca="false">AW261+AW292</f>
        <v>-203355.029198</v>
      </c>
      <c r="AX293" s="37" t="n">
        <f aca="false">AX261+AX292</f>
        <v>-207079.36978196</v>
      </c>
      <c r="AY293" s="37" t="n">
        <f aca="false">AY261+AY292</f>
        <v>-207079.36978196</v>
      </c>
      <c r="AZ293" s="37" t="n">
        <f aca="false">AZ261+AZ292</f>
        <v>-207079.36978196</v>
      </c>
      <c r="BA293" s="37" t="n">
        <f aca="false">BA261+BA292</f>
        <v>-207079.36978196</v>
      </c>
      <c r="BB293" s="37" t="n">
        <f aca="false">BB261+BB292</f>
        <v>-207079.36978196</v>
      </c>
      <c r="BC293" s="37" t="n">
        <f aca="false">BC261+BC292</f>
        <v>-207079.36978196</v>
      </c>
      <c r="BD293" s="37" t="n">
        <f aca="false">BD261+BD292</f>
        <v>-207079.36978196</v>
      </c>
      <c r="BE293" s="37" t="n">
        <f aca="false">BE261+BE292</f>
        <v>-207079.36978196</v>
      </c>
      <c r="BF293" s="37" t="n">
        <f aca="false">BF261+BF292</f>
        <v>-207079.36978196</v>
      </c>
      <c r="BG293" s="37" t="n">
        <f aca="false">BG261+BG292</f>
        <v>-207079.36978196</v>
      </c>
      <c r="BH293" s="37" t="n">
        <f aca="false">BH261+BH292</f>
        <v>-207079.36978196</v>
      </c>
      <c r="BI293" s="37" t="n">
        <f aca="false">BI261+BI292</f>
        <v>-207079.36978196</v>
      </c>
      <c r="BJ293" s="37" t="n">
        <f aca="false">BJ261+BJ292</f>
        <v>-210878.197177599</v>
      </c>
      <c r="BK293" s="37" t="n">
        <f aca="false">BK261+BK292</f>
        <v>-210878.197177599</v>
      </c>
      <c r="BL293" s="37" t="n">
        <f aca="false">BL261+BL292</f>
        <v>-210878.197177599</v>
      </c>
      <c r="BM293" s="37" t="n">
        <f aca="false">BM261+BM292</f>
        <v>-210878.197177599</v>
      </c>
      <c r="BN293" s="37" t="n">
        <f aca="false">BN261+BN292</f>
        <v>-210878.197177599</v>
      </c>
      <c r="BO293" s="37" t="n">
        <f aca="false">BO261+BO292</f>
        <v>-210878.197177599</v>
      </c>
      <c r="BP293" s="37" t="n">
        <f aca="false">BP261+BP292</f>
        <v>-210878.197177599</v>
      </c>
      <c r="BQ293" s="37" t="n">
        <f aca="false">BQ261+BQ292</f>
        <v>-210878.197177599</v>
      </c>
      <c r="BR293" s="37" t="n">
        <f aca="false">BR261+BR292</f>
        <v>-157627.847177599</v>
      </c>
      <c r="BS293" s="37" t="n">
        <f aca="false">BS261+BS292</f>
        <v>-210878.197177599</v>
      </c>
      <c r="BT293" s="37" t="n">
        <f aca="false">BT261+BT292</f>
        <v>-210878.197177599</v>
      </c>
      <c r="BU293" s="37" t="n">
        <f aca="false">BU261+BU292</f>
        <v>-143116.197177599</v>
      </c>
      <c r="BV293" s="37" t="n">
        <f aca="false">BV261+BV292</f>
        <v>-214753.001121151</v>
      </c>
      <c r="BW293" s="37" t="n">
        <f aca="false">BW261+BW292</f>
        <v>-214753.001121151</v>
      </c>
      <c r="BX293" s="37" t="n">
        <f aca="false">BX261+BX292</f>
        <v>-146991.001121151</v>
      </c>
      <c r="BY293" s="37" t="n">
        <f aca="false">BY261+BY292</f>
        <v>-214753.001121151</v>
      </c>
      <c r="BZ293" s="37" t="n">
        <f aca="false">BZ261+BZ292</f>
        <v>-214753.001121151</v>
      </c>
      <c r="CA293" s="37" t="n">
        <f aca="false">CA261+CA292</f>
        <v>-146991.001121151</v>
      </c>
      <c r="CB293" s="37" t="n">
        <f aca="false">CB261+CB292</f>
        <v>-214753.001121151</v>
      </c>
      <c r="CC293" s="37" t="n">
        <f aca="false">CC261+CC292</f>
        <v>-214753.001121151</v>
      </c>
      <c r="CD293" s="37" t="n">
        <f aca="false">CD261+CD292</f>
        <v>-138254.001121151</v>
      </c>
      <c r="CE293" s="37" t="n">
        <f aca="false">CE261+CE292</f>
        <v>-214753.001121151</v>
      </c>
      <c r="CF293" s="37" t="n">
        <f aca="false">CF261+CF292</f>
        <v>-214753.001121151</v>
      </c>
      <c r="CG293" s="37" t="n">
        <f aca="false">CG261+CG292</f>
        <v>-138254.001121151</v>
      </c>
      <c r="CH293" s="37" t="n">
        <f aca="false">CH261+CH292</f>
        <v>-218705.301143574</v>
      </c>
      <c r="CI293" s="37" t="n">
        <f aca="false">CI261+CI292</f>
        <v>-218705.301143574</v>
      </c>
      <c r="CJ293" s="37" t="n">
        <f aca="false">CJ261+CJ292</f>
        <v>-135598.274537095</v>
      </c>
      <c r="CK293" s="37" t="n">
        <f aca="false">CK261+CK292</f>
        <v>-60844.3011435742</v>
      </c>
      <c r="CL293" s="37" t="n">
        <f aca="false">CL261+CL292</f>
        <v>-60844.3011435742</v>
      </c>
      <c r="CM293" s="37" t="n">
        <f aca="false">CM261+CM292</f>
        <v>-60844.3011435742</v>
      </c>
      <c r="CN293" s="37" t="n">
        <f aca="false">CN261+CN292</f>
        <v>-60844.3011435742</v>
      </c>
      <c r="CO293" s="37" t="n">
        <f aca="false">CO261+CO292</f>
        <v>-60844.3011435742</v>
      </c>
      <c r="CP293" s="37" t="n">
        <f aca="false">CP261+CP292</f>
        <v>-60844.3011435742</v>
      </c>
      <c r="CQ293" s="37" t="n">
        <f aca="false">CQ261+CQ292</f>
        <v>-60844.3011435742</v>
      </c>
      <c r="CR293" s="37" t="n">
        <f aca="false">CR261+CR292</f>
        <v>-60844.3011435742</v>
      </c>
      <c r="CS293" s="37" t="n">
        <f aca="false">CS261+CS292</f>
        <v>-60844.3011435742</v>
      </c>
      <c r="CT293" s="37" t="n">
        <f aca="false">CT261+CT292</f>
        <v>-58896.4989568171</v>
      </c>
      <c r="CU293" s="37" t="n">
        <f aca="false">CU261+CU292</f>
        <v>-58896.4989568171</v>
      </c>
      <c r="CV293" s="37" t="n">
        <f aca="false">CV261+CV292</f>
        <v>-58896.4989568171</v>
      </c>
      <c r="CW293" s="37" t="n">
        <f aca="false">CW261+CW292</f>
        <v>-58896.4989568171</v>
      </c>
      <c r="CX293" s="37" t="n">
        <f aca="false">CX261+CX292</f>
        <v>-58896.4989568171</v>
      </c>
      <c r="CY293" s="37" t="n">
        <f aca="false">CY261+CY292</f>
        <v>-58896.4989568171</v>
      </c>
      <c r="CZ293" s="37" t="n">
        <f aca="false">CZ261+CZ292</f>
        <v>-58896.4989568171</v>
      </c>
      <c r="DA293" s="37" t="n">
        <f aca="false">DA261+DA292</f>
        <v>-58896.4989568171</v>
      </c>
      <c r="DB293" s="37" t="n">
        <f aca="false">DB261+DB292</f>
        <v>-58896.4989568171</v>
      </c>
      <c r="DC293" s="37" t="n">
        <f aca="false">DC261+DC292</f>
        <v>-58896.4989568171</v>
      </c>
      <c r="DD293" s="37" t="n">
        <f aca="false">DD261+DD292</f>
        <v>-58896.4989568171</v>
      </c>
      <c r="DE293" s="37" t="n">
        <f aca="false">DE261+DE292</f>
        <v>-58896.4989568171</v>
      </c>
    </row>
    <row r="294" customFormat="false" ht="19.5" hidden="false" customHeight="true" outlineLevel="0" collapsed="false">
      <c r="A294" s="23" t="s">
        <v>141</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142</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143</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144</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145</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146</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147</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115458.632875001</v>
      </c>
      <c r="L302" s="13" t="n">
        <f aca="false">L199</f>
        <v>447906.98</v>
      </c>
      <c r="M302" s="13" t="n">
        <f aca="false">M199</f>
        <v>532753.92</v>
      </c>
      <c r="N302" s="13" t="n">
        <f aca="false">N199</f>
        <v>656618.90671865</v>
      </c>
      <c r="O302" s="13" t="n">
        <f aca="false">O199</f>
        <v>685879.923199601</v>
      </c>
      <c r="P302" s="13" t="n">
        <f aca="false">P199</f>
        <v>704354.5431996</v>
      </c>
      <c r="Q302" s="13" t="n">
        <f aca="false">Q199</f>
        <v>678911.2431996</v>
      </c>
      <c r="R302" s="13" t="n">
        <f aca="false">R199</f>
        <v>665516.533199597</v>
      </c>
      <c r="S302" s="13" t="n">
        <f aca="false">S199</f>
        <v>367726.476902949</v>
      </c>
      <c r="T302" s="13" t="n">
        <f aca="false">T199</f>
        <v>1034525.45641275</v>
      </c>
      <c r="U302" s="13" t="n">
        <f aca="false">U199</f>
        <v>930823.396412751</v>
      </c>
      <c r="V302" s="13" t="n">
        <f aca="false">V199</f>
        <v>1016694.66641275</v>
      </c>
      <c r="W302" s="13" t="n">
        <f aca="false">W199</f>
        <v>837539.836412748</v>
      </c>
      <c r="X302" s="13" t="n">
        <f aca="false">X199</f>
        <v>988203.796412751</v>
      </c>
      <c r="Y302" s="13" t="n">
        <f aca="false">Y199</f>
        <v>804676.87641275</v>
      </c>
      <c r="Z302" s="13" t="n">
        <f aca="false">Z199</f>
        <v>904603.87641275</v>
      </c>
      <c r="AA302" s="13" t="n">
        <f aca="false">AA199</f>
        <v>814436.936412748</v>
      </c>
      <c r="AB302" s="13" t="n">
        <f aca="false">AB199</f>
        <v>676302.666412749</v>
      </c>
      <c r="AC302" s="13" t="n">
        <f aca="false">AC199</f>
        <v>580065.826412753</v>
      </c>
      <c r="AD302" s="13" t="n">
        <f aca="false">AD199</f>
        <v>602631.86641275</v>
      </c>
      <c r="AE302" s="13" t="n">
        <f aca="false">AE199</f>
        <v>593715.546412747</v>
      </c>
      <c r="AF302" s="13" t="n">
        <f aca="false">AF199</f>
        <v>752099.673131402</v>
      </c>
      <c r="AG302" s="13" t="n">
        <f aca="false">AG199</f>
        <v>685499.17617505</v>
      </c>
      <c r="AH302" s="13" t="n">
        <f aca="false">AH199</f>
        <v>549163.693213149</v>
      </c>
      <c r="AI302" s="13" t="n">
        <f aca="false">AI199</f>
        <v>543099.983213155</v>
      </c>
      <c r="AJ302" s="13" t="n">
        <f aca="false">AJ199</f>
        <v>422526.053213147</v>
      </c>
      <c r="AK302" s="13" t="n">
        <f aca="false">AK199</f>
        <v>397936.34321315</v>
      </c>
      <c r="AL302" s="13" t="n">
        <f aca="false">AL199</f>
        <v>412007.053213151</v>
      </c>
      <c r="AM302" s="13" t="n">
        <f aca="false">AM199</f>
        <v>423690.093213149</v>
      </c>
      <c r="AN302" s="13" t="n">
        <f aca="false">AN199</f>
        <v>317022.583213148</v>
      </c>
      <c r="AO302" s="13" t="n">
        <f aca="false">AO199</f>
        <v>277761.84321315</v>
      </c>
      <c r="AP302" s="13" t="n">
        <f aca="false">AP199</f>
        <v>410630.440041698</v>
      </c>
      <c r="AQ302" s="13" t="n">
        <f aca="false">AQ199</f>
        <v>172574.204057217</v>
      </c>
      <c r="AR302" s="13" t="n">
        <f aca="false">AR199</f>
        <v>172574.204057217</v>
      </c>
      <c r="AS302" s="13" t="n">
        <f aca="false">AS199</f>
        <v>172574.204057217</v>
      </c>
      <c r="AT302" s="13" t="n">
        <f aca="false">AT199</f>
        <v>172574.204057217</v>
      </c>
      <c r="AU302" s="13" t="n">
        <f aca="false">AU199</f>
        <v>172574.204057217</v>
      </c>
      <c r="AV302" s="13" t="n">
        <f aca="false">AV199</f>
        <v>445059.789410717</v>
      </c>
      <c r="AW302" s="13" t="n">
        <f aca="false">AW199</f>
        <v>0</v>
      </c>
      <c r="AX302" s="13" t="n">
        <f aca="false">AX199</f>
        <v>0</v>
      </c>
      <c r="AY302" s="13" t="n">
        <f aca="false">AY199</f>
        <v>0</v>
      </c>
      <c r="AZ302" s="13" t="n">
        <f aca="false">AZ199</f>
        <v>0</v>
      </c>
      <c r="BA302" s="13" t="n">
        <f aca="false">BA199</f>
        <v>0</v>
      </c>
      <c r="BB302" s="13" t="n">
        <f aca="false">BB199</f>
        <v>0</v>
      </c>
      <c r="BC302" s="13" t="n">
        <f aca="false">BC199</f>
        <v>0</v>
      </c>
      <c r="BD302" s="13" t="n">
        <f aca="false">BD199</f>
        <v>0</v>
      </c>
      <c r="BE302" s="13" t="n">
        <f aca="false">BE199</f>
        <v>0</v>
      </c>
      <c r="BF302" s="13" t="n">
        <f aca="false">BF199</f>
        <v>0</v>
      </c>
      <c r="BG302" s="13" t="n">
        <f aca="false">BG199</f>
        <v>0</v>
      </c>
      <c r="BH302" s="13" t="n">
        <f aca="false">BH199</f>
        <v>0</v>
      </c>
      <c r="BI302" s="13" t="n">
        <f aca="false">BI199</f>
        <v>0</v>
      </c>
      <c r="BJ302" s="13" t="n">
        <f aca="false">BJ199</f>
        <v>0</v>
      </c>
      <c r="BK302" s="13" t="n">
        <f aca="false">BK199</f>
        <v>0</v>
      </c>
      <c r="BL302" s="13" t="n">
        <f aca="false">BL199</f>
        <v>0</v>
      </c>
      <c r="BM302" s="13" t="n">
        <f aca="false">BM199</f>
        <v>0</v>
      </c>
      <c r="BN302" s="13" t="n">
        <f aca="false">BN199</f>
        <v>0</v>
      </c>
      <c r="BO302" s="13" t="n">
        <f aca="false">BO199</f>
        <v>0</v>
      </c>
      <c r="BP302" s="13" t="n">
        <f aca="false">BP199</f>
        <v>0</v>
      </c>
      <c r="BQ302" s="13" t="n">
        <f aca="false">BQ199</f>
        <v>0</v>
      </c>
      <c r="BR302" s="13" t="n">
        <f aca="false">BR199</f>
        <v>0</v>
      </c>
      <c r="BS302" s="13" t="n">
        <f aca="false">BS199</f>
        <v>0</v>
      </c>
      <c r="BT302" s="13" t="n">
        <f aca="false">BT199</f>
        <v>0</v>
      </c>
      <c r="BU302" s="13" t="n">
        <f aca="false">BU199</f>
        <v>0</v>
      </c>
      <c r="BV302" s="13" t="n">
        <f aca="false">BV199</f>
        <v>0</v>
      </c>
      <c r="BW302" s="13" t="n">
        <f aca="false">BW199</f>
        <v>0</v>
      </c>
      <c r="BX302" s="13" t="n">
        <f aca="false">BX199</f>
        <v>0</v>
      </c>
      <c r="BY302" s="13" t="n">
        <f aca="false">BY199</f>
        <v>0</v>
      </c>
      <c r="BZ302" s="13" t="n">
        <f aca="false">BZ199</f>
        <v>0</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42081.25</v>
      </c>
      <c r="L303" s="13" t="n">
        <f aca="false">L261</f>
        <v>32706.25</v>
      </c>
      <c r="M303" s="13" t="n">
        <f aca="false">M261</f>
        <v>32706.25</v>
      </c>
      <c r="N303" s="13" t="n">
        <f aca="false">N261</f>
        <v>35864.1447368421</v>
      </c>
      <c r="O303" s="13" t="n">
        <f aca="false">O261</f>
        <v>39022.0394736842</v>
      </c>
      <c r="P303" s="13" t="n">
        <f aca="false">P261</f>
        <v>39022.0394736842</v>
      </c>
      <c r="Q303" s="13" t="n">
        <f aca="false">Q261</f>
        <v>39022.0394736842</v>
      </c>
      <c r="R303" s="13" t="n">
        <f aca="false">R261</f>
        <v>39022.0394736842</v>
      </c>
      <c r="S303" s="13" t="n">
        <f aca="false">S261</f>
        <v>39022.0394736842</v>
      </c>
      <c r="T303" s="13" t="n">
        <f aca="false">T261</f>
        <v>15115.7894736842</v>
      </c>
      <c r="U303" s="13" t="n">
        <f aca="false">U261</f>
        <v>15115.7894736842</v>
      </c>
      <c r="V303" s="13" t="n">
        <f aca="false">V261</f>
        <v>15115.7894736842</v>
      </c>
      <c r="W303" s="13" t="n">
        <f aca="false">W261</f>
        <v>15115.7894736842</v>
      </c>
      <c r="X303" s="13" t="n">
        <f aca="false">X261</f>
        <v>15115.7894736842</v>
      </c>
      <c r="Y303" s="13" t="n">
        <f aca="false">Y261</f>
        <v>72490.7894736842</v>
      </c>
      <c r="Z303" s="13" t="n">
        <f aca="false">Z261</f>
        <v>15115.7894736842</v>
      </c>
      <c r="AA303" s="13" t="n">
        <f aca="false">AA261</f>
        <v>15115.7894736842</v>
      </c>
      <c r="AB303" s="13" t="n">
        <f aca="false">AB261</f>
        <v>72490.7894736842</v>
      </c>
      <c r="AC303" s="13" t="n">
        <f aca="false">AC261</f>
        <v>15115.7894736842</v>
      </c>
      <c r="AD303" s="13" t="n">
        <f aca="false">AD261</f>
        <v>15115.7894736842</v>
      </c>
      <c r="AE303" s="13" t="n">
        <f aca="false">AE261</f>
        <v>72490.7894736842</v>
      </c>
      <c r="AF303" s="13" t="n">
        <f aca="false">AF261</f>
        <v>15115.7894736842</v>
      </c>
      <c r="AG303" s="13" t="n">
        <f aca="false">AG261</f>
        <v>11957.8947368421</v>
      </c>
      <c r="AH303" s="13" t="n">
        <f aca="false">AH261</f>
        <v>8800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142402</v>
      </c>
      <c r="CB303" s="13" t="n">
        <f aca="false">CB261</f>
        <v>0</v>
      </c>
      <c r="CC303" s="13" t="n">
        <f aca="false">CC261</f>
        <v>0</v>
      </c>
      <c r="CD303" s="13" t="n">
        <f aca="false">CD261</f>
        <v>157862</v>
      </c>
      <c r="CE303" s="13" t="n">
        <f aca="false">CE261</f>
        <v>0</v>
      </c>
      <c r="CF303" s="13" t="n">
        <f aca="false">CF261</f>
        <v>0</v>
      </c>
      <c r="CG303" s="13" t="n">
        <f aca="false">CG261</f>
        <v>157861</v>
      </c>
      <c r="CH303" s="13" t="n">
        <f aca="false">CH261</f>
        <v>0</v>
      </c>
      <c r="CI303" s="13" t="n">
        <f aca="false">CI261</f>
        <v>0</v>
      </c>
      <c r="CJ303" s="13" t="n">
        <f aca="false">CJ261</f>
        <v>157861</v>
      </c>
      <c r="CK303" s="13" t="n">
        <f aca="false">CK261</f>
        <v>157861</v>
      </c>
      <c r="CL303" s="13" t="n">
        <f aca="false">CL261</f>
        <v>157861</v>
      </c>
      <c r="CM303" s="13" t="n">
        <f aca="false">CM261</f>
        <v>157861</v>
      </c>
      <c r="CN303" s="13" t="n">
        <f aca="false">CN261</f>
        <v>157861</v>
      </c>
      <c r="CO303" s="13" t="n">
        <f aca="false">CO261</f>
        <v>157861</v>
      </c>
      <c r="CP303" s="13" t="n">
        <f aca="false">CP261</f>
        <v>157861</v>
      </c>
      <c r="CQ303" s="13" t="n">
        <f aca="false">CQ261</f>
        <v>157861</v>
      </c>
      <c r="CR303" s="13" t="n">
        <f aca="false">CR261</f>
        <v>157861</v>
      </c>
      <c r="CS303" s="13" t="n">
        <f aca="false">CS261</f>
        <v>157861</v>
      </c>
      <c r="CT303" s="13" t="n">
        <f aca="false">CT261</f>
        <v>157861</v>
      </c>
      <c r="CU303" s="13" t="n">
        <f aca="false">CU261</f>
        <v>157861</v>
      </c>
      <c r="CV303" s="13" t="n">
        <f aca="false">CV261</f>
        <v>157861</v>
      </c>
      <c r="CW303" s="13" t="n">
        <f aca="false">CW261</f>
        <v>157861</v>
      </c>
      <c r="CX303" s="13" t="n">
        <f aca="false">CX261</f>
        <v>157861</v>
      </c>
      <c r="CY303" s="13" t="n">
        <f aca="false">CY261</f>
        <v>157861</v>
      </c>
      <c r="CZ303" s="13" t="n">
        <f aca="false">CZ261</f>
        <v>157861</v>
      </c>
      <c r="DA303" s="13" t="n">
        <f aca="false">DA261</f>
        <v>157861</v>
      </c>
      <c r="DB303" s="13" t="n">
        <f aca="false">DB261</f>
        <v>157861</v>
      </c>
      <c r="DC303" s="13" t="n">
        <f aca="false">DC261</f>
        <v>157861</v>
      </c>
      <c r="DD303" s="13" t="n">
        <f aca="false">DD261</f>
        <v>157861</v>
      </c>
      <c r="DE303" s="13" t="n">
        <f aca="false">DE261</f>
        <v>157861</v>
      </c>
    </row>
    <row r="304" customFormat="false" ht="15" hidden="false" customHeight="true" outlineLevel="0" collapsed="false">
      <c r="A304" s="41" t="s">
        <v>148</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158647.945758334</v>
      </c>
      <c r="L304" s="30" t="n">
        <f aca="false">L302+L303+L295</f>
        <v>481721.292883334</v>
      </c>
      <c r="M304" s="30" t="n">
        <f aca="false">M302+M303+M295</f>
        <v>566568.232883334</v>
      </c>
      <c r="N304" s="30" t="n">
        <f aca="false">N302+N303+N295</f>
        <v>692483.051455492</v>
      </c>
      <c r="O304" s="30" t="n">
        <f aca="false">O302+O303+O295</f>
        <v>724901.962673285</v>
      </c>
      <c r="P304" s="30" t="n">
        <f aca="false">P302+P303+P295</f>
        <v>744291.965706284</v>
      </c>
      <c r="Q304" s="30" t="n">
        <f aca="false">Q302+Q303+Q295</f>
        <v>717933.282673284</v>
      </c>
      <c r="R304" s="30" t="n">
        <f aca="false">R302+R303+R295</f>
        <v>704538.572673281</v>
      </c>
      <c r="S304" s="30" t="n">
        <f aca="false">S302+S303+S295</f>
        <v>406748.516376633</v>
      </c>
      <c r="T304" s="30" t="n">
        <f aca="false">T302+T303+T295</f>
        <v>1049641.24588643</v>
      </c>
      <c r="U304" s="30" t="n">
        <f aca="false">U302+U303+U295</f>
        <v>945939.185886435</v>
      </c>
      <c r="V304" s="30" t="n">
        <f aca="false">V302+V303+V295</f>
        <v>1031810.45588643</v>
      </c>
      <c r="W304" s="30" t="n">
        <f aca="false">W302+W303+W295</f>
        <v>852655.625886433</v>
      </c>
      <c r="X304" s="30" t="n">
        <f aca="false">X302+X303+X295</f>
        <v>1003319.58588644</v>
      </c>
      <c r="Y304" s="30" t="n">
        <f aca="false">Y302+Y303+Y295</f>
        <v>877167.665886435</v>
      </c>
      <c r="Z304" s="30" t="n">
        <f aca="false">Z302+Z303+Z295</f>
        <v>919719.665886434</v>
      </c>
      <c r="AA304" s="30" t="n">
        <f aca="false">AA302+AA303+AA295</f>
        <v>829552.725886432</v>
      </c>
      <c r="AB304" s="30" t="n">
        <f aca="false">AB302+AB303+AB295</f>
        <v>748793.455886434</v>
      </c>
      <c r="AC304" s="30" t="n">
        <f aca="false">AC302+AC303+AC295</f>
        <v>595181.615886437</v>
      </c>
      <c r="AD304" s="30" t="n">
        <f aca="false">AD302+AD303+AD295</f>
        <v>617747.655886435</v>
      </c>
      <c r="AE304" s="30" t="n">
        <f aca="false">AE302+AE303+AE295</f>
        <v>666206.335886432</v>
      </c>
      <c r="AF304" s="30" t="n">
        <f aca="false">AF302+AF303+AF295</f>
        <v>767215.462605086</v>
      </c>
      <c r="AG304" s="30" t="n">
        <f aca="false">AG302+AG303+AG295</f>
        <v>697457.070911892</v>
      </c>
      <c r="AH304" s="30" t="n">
        <f aca="false">AH302+AH303+AH295</f>
        <v>557963.693213149</v>
      </c>
      <c r="AI304" s="30" t="n">
        <f aca="false">AI302+AI303+AI295</f>
        <v>543099.983213155</v>
      </c>
      <c r="AJ304" s="30" t="n">
        <f aca="false">AJ302+AJ303+AJ295</f>
        <v>422526.053213147</v>
      </c>
      <c r="AK304" s="30" t="n">
        <f aca="false">AK302+AK303+AK295</f>
        <v>397936.34321315</v>
      </c>
      <c r="AL304" s="30" t="n">
        <f aca="false">AL302+AL303+AL295</f>
        <v>412007.053213151</v>
      </c>
      <c r="AM304" s="30" t="n">
        <f aca="false">AM302+AM303+AM295</f>
        <v>423690.093213149</v>
      </c>
      <c r="AN304" s="30" t="n">
        <f aca="false">AN302+AN303+AN295</f>
        <v>317022.583213148</v>
      </c>
      <c r="AO304" s="30" t="n">
        <f aca="false">AO302+AO303+AO295</f>
        <v>277761.84321315</v>
      </c>
      <c r="AP304" s="30" t="n">
        <f aca="false">AP302+AP303+AP295</f>
        <v>410630.440041698</v>
      </c>
      <c r="AQ304" s="30" t="n">
        <f aca="false">AQ302+AQ303+AQ295</f>
        <v>172574.204057217</v>
      </c>
      <c r="AR304" s="30" t="n">
        <f aca="false">AR302+AR303+AR295</f>
        <v>172574.204057217</v>
      </c>
      <c r="AS304" s="30" t="n">
        <f aca="false">AS302+AS303+AS295</f>
        <v>172574.204057217</v>
      </c>
      <c r="AT304" s="30" t="n">
        <f aca="false">AT302+AT303+AT295</f>
        <v>254257.204057217</v>
      </c>
      <c r="AU304" s="30" t="n">
        <f aca="false">AU302+AU303+AU295</f>
        <v>172574.204057217</v>
      </c>
      <c r="AV304" s="30" t="n">
        <f aca="false">AV302+AV303+AV295</f>
        <v>445059.789410717</v>
      </c>
      <c r="AW304" s="30" t="n">
        <f aca="false">AW302+AW303+AW295</f>
        <v>81682</v>
      </c>
      <c r="AX304" s="30" t="n">
        <f aca="false">AX302+AX303+AX295</f>
        <v>0</v>
      </c>
      <c r="AY304" s="30" t="n">
        <f aca="false">AY302+AY303+AY295</f>
        <v>0</v>
      </c>
      <c r="AZ304" s="30" t="n">
        <f aca="false">AZ302+AZ303+AZ295</f>
        <v>81682</v>
      </c>
      <c r="BA304" s="30" t="n">
        <f aca="false">BA302+BA303+BA295</f>
        <v>0</v>
      </c>
      <c r="BB304" s="30" t="n">
        <f aca="false">BB302+BB303+BB295</f>
        <v>0</v>
      </c>
      <c r="BC304" s="30" t="n">
        <f aca="false">BC302+BC303+BC295</f>
        <v>933521</v>
      </c>
      <c r="BD304" s="30" t="n">
        <f aca="false">BD302+BD303+BD295</f>
        <v>0</v>
      </c>
      <c r="BE304" s="30" t="n">
        <f aca="false">BE302+BE303+BE295</f>
        <v>0</v>
      </c>
      <c r="BF304" s="30" t="n">
        <f aca="false">BF302+BF303+BF295</f>
        <v>130878</v>
      </c>
      <c r="BG304" s="30" t="n">
        <f aca="false">BG302+BG303+BG295</f>
        <v>0</v>
      </c>
      <c r="BH304" s="30" t="n">
        <f aca="false">BH302+BH303+BH295</f>
        <v>0</v>
      </c>
      <c r="BI304" s="30" t="n">
        <f aca="false">BI302+BI303+BI295</f>
        <v>130876</v>
      </c>
      <c r="BJ304" s="30" t="n">
        <f aca="false">BJ302+BJ303+BJ295</f>
        <v>0</v>
      </c>
      <c r="BK304" s="30" t="n">
        <f aca="false">BK302+BK303+BK295</f>
        <v>0</v>
      </c>
      <c r="BL304" s="30" t="n">
        <f aca="false">BL302+BL303+BL295</f>
        <v>130876</v>
      </c>
      <c r="BM304" s="30" t="n">
        <f aca="false">BM302+BM303+BM295</f>
        <v>0</v>
      </c>
      <c r="BN304" s="30" t="n">
        <f aca="false">BN302+BN303+BN295</f>
        <v>0</v>
      </c>
      <c r="BO304" s="30" t="n">
        <f aca="false">BO302+BO303+BO295</f>
        <v>130876</v>
      </c>
      <c r="BP304" s="30" t="n">
        <f aca="false">BP302+BP303+BP295</f>
        <v>0</v>
      </c>
      <c r="BQ304" s="30" t="n">
        <f aca="false">BQ302+BQ303+BQ295</f>
        <v>0</v>
      </c>
      <c r="BR304" s="30" t="n">
        <f aca="false">BR302+BR303+BR295</f>
        <v>142406</v>
      </c>
      <c r="BS304" s="30" t="n">
        <f aca="false">BS302+BS303+BS295</f>
        <v>0</v>
      </c>
      <c r="BT304" s="30" t="n">
        <f aca="false">BT302+BT303+BT295</f>
        <v>0</v>
      </c>
      <c r="BU304" s="30" t="n">
        <f aca="false">BU302+BU303+BU295</f>
        <v>142402</v>
      </c>
      <c r="BV304" s="30" t="n">
        <f aca="false">BV302+BV303+BV295</f>
        <v>0</v>
      </c>
      <c r="BW304" s="30" t="n">
        <f aca="false">BW302+BW303+BW295</f>
        <v>0</v>
      </c>
      <c r="BX304" s="30" t="n">
        <f aca="false">BX302+BX303+BX295</f>
        <v>142402</v>
      </c>
      <c r="BY304" s="30" t="n">
        <f aca="false">BY302+BY303+BY295</f>
        <v>0</v>
      </c>
      <c r="BZ304" s="30" t="n">
        <f aca="false">BZ302+BZ303+BZ295</f>
        <v>0</v>
      </c>
      <c r="CA304" s="30" t="n">
        <f aca="false">CA302+CA303+CA295</f>
        <v>142402</v>
      </c>
      <c r="CB304" s="30" t="n">
        <f aca="false">CB302+CB303+CB295</f>
        <v>0</v>
      </c>
      <c r="CC304" s="30" t="n">
        <f aca="false">CC302+CC303+CC295</f>
        <v>0</v>
      </c>
      <c r="CD304" s="30" t="n">
        <f aca="false">CD302+CD303+CD295</f>
        <v>157862</v>
      </c>
      <c r="CE304" s="30" t="n">
        <f aca="false">CE302+CE303+CE295</f>
        <v>0</v>
      </c>
      <c r="CF304" s="30" t="n">
        <f aca="false">CF302+CF303+CF295</f>
        <v>0</v>
      </c>
      <c r="CG304" s="30" t="n">
        <f aca="false">CG302+CG303+CG295</f>
        <v>157861</v>
      </c>
      <c r="CH304" s="30" t="n">
        <f aca="false">CH302+CH303+CH295</f>
        <v>0</v>
      </c>
      <c r="CI304" s="30" t="n">
        <f aca="false">CI302+CI303+CI295</f>
        <v>0</v>
      </c>
      <c r="CJ304" s="30" t="n">
        <f aca="false">CJ302+CJ303+CJ295</f>
        <v>157861</v>
      </c>
      <c r="CK304" s="30" t="n">
        <f aca="false">CK302+CK303+CK295</f>
        <v>157861</v>
      </c>
      <c r="CL304" s="30" t="n">
        <f aca="false">CL302+CL303+CL295</f>
        <v>157861</v>
      </c>
      <c r="CM304" s="30" t="n">
        <f aca="false">CM302+CM303+CM295</f>
        <v>157861</v>
      </c>
      <c r="CN304" s="30" t="n">
        <f aca="false">CN302+CN303+CN295</f>
        <v>157861</v>
      </c>
      <c r="CO304" s="30" t="n">
        <f aca="false">CO302+CO303+CO295</f>
        <v>157861</v>
      </c>
      <c r="CP304" s="30" t="n">
        <f aca="false">CP302+CP303+CP295</f>
        <v>157861</v>
      </c>
      <c r="CQ304" s="30" t="n">
        <f aca="false">CQ302+CQ303+CQ295</f>
        <v>157861</v>
      </c>
      <c r="CR304" s="30" t="n">
        <f aca="false">CR302+CR303+CR295</f>
        <v>157861</v>
      </c>
      <c r="CS304" s="30" t="n">
        <f aca="false">CS302+CS303+CS295</f>
        <v>157861</v>
      </c>
      <c r="CT304" s="30" t="n">
        <f aca="false">CT302+CT303+CT295</f>
        <v>157861</v>
      </c>
      <c r="CU304" s="30" t="n">
        <f aca="false">CU302+CU303+CU295</f>
        <v>157861</v>
      </c>
      <c r="CV304" s="30" t="n">
        <f aca="false">CV302+CV303+CV295</f>
        <v>157861</v>
      </c>
      <c r="CW304" s="30" t="n">
        <f aca="false">CW302+CW303+CW295</f>
        <v>157861</v>
      </c>
      <c r="CX304" s="30" t="n">
        <f aca="false">CX302+CX303+CX295</f>
        <v>157861</v>
      </c>
      <c r="CY304" s="30" t="n">
        <f aca="false">CY302+CY303+CY295</f>
        <v>157861</v>
      </c>
      <c r="CZ304" s="30" t="n">
        <f aca="false">CZ302+CZ303+CZ295</f>
        <v>157861</v>
      </c>
      <c r="DA304" s="30" t="n">
        <f aca="false">DA302+DA303+DA295</f>
        <v>157861</v>
      </c>
      <c r="DB304" s="30" t="n">
        <f aca="false">DB302+DB303+DB295</f>
        <v>157861</v>
      </c>
      <c r="DC304" s="30" t="n">
        <f aca="false">DC302+DC303+DC295</f>
        <v>157861</v>
      </c>
      <c r="DD304" s="30" t="n">
        <f aca="false">DD302+DD303+DD295</f>
        <v>157861</v>
      </c>
      <c r="DE304" s="30" t="n">
        <f aca="false">DE302+DE303+DE295</f>
        <v>157861</v>
      </c>
    </row>
    <row r="305" customFormat="false" ht="15" hidden="false" customHeight="true" outlineLevel="0" collapsed="false">
      <c r="A305" s="40" t="s">
        <v>149</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-403247.629666667</v>
      </c>
      <c r="L305" s="13" t="n">
        <f aca="false">L236</f>
        <v>-395747.629666667</v>
      </c>
      <c r="M305" s="13" t="n">
        <f aca="false">M236</f>
        <v>-497587.629666667</v>
      </c>
      <c r="N305" s="13" t="n">
        <f aca="false">N236</f>
        <v>-416147.838</v>
      </c>
      <c r="O305" s="13" t="n">
        <f aca="false">O236</f>
        <v>-437116.588</v>
      </c>
      <c r="P305" s="13" t="n">
        <f aca="false">P236</f>
        <v>-404241.588</v>
      </c>
      <c r="Q305" s="13" t="n">
        <f aca="false">Q236</f>
        <v>-404241.588</v>
      </c>
      <c r="R305" s="13" t="n">
        <f aca="false">R236</f>
        <v>-404241.588</v>
      </c>
      <c r="S305" s="13" t="n">
        <f aca="false">S236</f>
        <v>-500697.838</v>
      </c>
      <c r="T305" s="13" t="n">
        <f aca="false">T236</f>
        <v>-457572.838</v>
      </c>
      <c r="U305" s="13" t="n">
        <f aca="false">U236</f>
        <v>-457572.838</v>
      </c>
      <c r="V305" s="13" t="n">
        <f aca="false">V236</f>
        <v>-457572.838</v>
      </c>
      <c r="W305" s="13" t="n">
        <f aca="false">W236</f>
        <v>-457572.838</v>
      </c>
      <c r="X305" s="13" t="n">
        <f aca="false">X236</f>
        <v>-457572.838</v>
      </c>
      <c r="Y305" s="13" t="n">
        <f aca="false">Y236</f>
        <v>-657572.838</v>
      </c>
      <c r="Z305" s="13" t="n">
        <f aca="false">Z236</f>
        <v>-462766.537067692</v>
      </c>
      <c r="AA305" s="13" t="n">
        <f aca="false">AA236</f>
        <v>-440458.84476</v>
      </c>
      <c r="AB305" s="13" t="n">
        <f aca="false">AB236</f>
        <v>-435419.496683077</v>
      </c>
      <c r="AC305" s="13" t="n">
        <f aca="false">AC236</f>
        <v>-413496.41976</v>
      </c>
      <c r="AD305" s="13" t="n">
        <f aca="false">AD236</f>
        <v>-408457.071683077</v>
      </c>
      <c r="AE305" s="13" t="n">
        <f aca="false">AE236</f>
        <v>-386533.99476</v>
      </c>
      <c r="AF305" s="13" t="n">
        <f aca="false">AF236</f>
        <v>-386533.99476</v>
      </c>
      <c r="AG305" s="13" t="n">
        <f aca="false">AG236</f>
        <v>-386533.99476</v>
      </c>
      <c r="AH305" s="13" t="n">
        <f aca="false">AH236</f>
        <v>-386533.99476</v>
      </c>
      <c r="AI305" s="13" t="n">
        <f aca="false">AI236</f>
        <v>-386533.99476</v>
      </c>
      <c r="AJ305" s="13" t="n">
        <f aca="false">AJ236</f>
        <v>-386533.99476</v>
      </c>
      <c r="AK305" s="13" t="n">
        <f aca="false">AK236</f>
        <v>-586533.99476</v>
      </c>
      <c r="AL305" s="13" t="n">
        <f aca="false">AL236</f>
        <v>-393853.6746552</v>
      </c>
      <c r="AM305" s="13" t="n">
        <f aca="false">AM236</f>
        <v>-393853.6746552</v>
      </c>
      <c r="AN305" s="13" t="n">
        <f aca="false">AN236</f>
        <v>-393853.6746552</v>
      </c>
      <c r="AO305" s="13" t="n">
        <f aca="false">AO236</f>
        <v>-393853.6746552</v>
      </c>
      <c r="AP305" s="13" t="n">
        <f aca="false">AP236</f>
        <v>-393853.6746552</v>
      </c>
      <c r="AQ305" s="13" t="n">
        <f aca="false">AQ236</f>
        <v>-393853.6746552</v>
      </c>
      <c r="AR305" s="13" t="n">
        <f aca="false">AR236</f>
        <v>-393853.6746552</v>
      </c>
      <c r="AS305" s="13" t="n">
        <f aca="false">AS236</f>
        <v>-393853.6746552</v>
      </c>
      <c r="AT305" s="13" t="n">
        <f aca="false">AT236</f>
        <v>-393853.6746552</v>
      </c>
      <c r="AU305" s="13" t="n">
        <f aca="false">AU236</f>
        <v>-393853.6746552</v>
      </c>
      <c r="AV305" s="13" t="n">
        <f aca="false">AV236</f>
        <v>-393853.6746552</v>
      </c>
      <c r="AW305" s="13" t="n">
        <f aca="false">AW236</f>
        <v>-593853.6746552</v>
      </c>
      <c r="AX305" s="13" t="n">
        <f aca="false">AX236</f>
        <v>-401319.748148304</v>
      </c>
      <c r="AY305" s="13" t="n">
        <f aca="false">AY236</f>
        <v>-401319.748148304</v>
      </c>
      <c r="AZ305" s="13" t="n">
        <f aca="false">AZ236</f>
        <v>-401319.748148304</v>
      </c>
      <c r="BA305" s="13" t="n">
        <f aca="false">BA236</f>
        <v>-401319.748148304</v>
      </c>
      <c r="BB305" s="13" t="n">
        <f aca="false">BB236</f>
        <v>-401319.748148304</v>
      </c>
      <c r="BC305" s="13" t="n">
        <f aca="false">BC236</f>
        <v>-401319.748148304</v>
      </c>
      <c r="BD305" s="13" t="n">
        <f aca="false">BD236</f>
        <v>-401319.748148304</v>
      </c>
      <c r="BE305" s="13" t="n">
        <f aca="false">BE236</f>
        <v>-401319.748148304</v>
      </c>
      <c r="BF305" s="13" t="n">
        <f aca="false">BF236</f>
        <v>-401319.748148304</v>
      </c>
      <c r="BG305" s="13" t="n">
        <f aca="false">BG236</f>
        <v>-401319.748148304</v>
      </c>
      <c r="BH305" s="13" t="n">
        <f aca="false">BH236</f>
        <v>-401319.748148304</v>
      </c>
      <c r="BI305" s="13" t="n">
        <f aca="false">BI236</f>
        <v>-601319.748148304</v>
      </c>
      <c r="BJ305" s="13" t="n">
        <f aca="false">BJ236</f>
        <v>-408935.14311127</v>
      </c>
      <c r="BK305" s="13" t="n">
        <f aca="false">BK236</f>
        <v>-408935.14311127</v>
      </c>
      <c r="BL305" s="13" t="n">
        <f aca="false">BL236</f>
        <v>-408935.14311127</v>
      </c>
      <c r="BM305" s="13" t="n">
        <f aca="false">BM236</f>
        <v>-408935.14311127</v>
      </c>
      <c r="BN305" s="13" t="n">
        <f aca="false">BN236</f>
        <v>-408935.14311127</v>
      </c>
      <c r="BO305" s="13" t="n">
        <f aca="false">BO236</f>
        <v>-408935.14311127</v>
      </c>
      <c r="BP305" s="13" t="n">
        <f aca="false">BP236</f>
        <v>-408935.14311127</v>
      </c>
      <c r="BQ305" s="13" t="n">
        <f aca="false">BQ236</f>
        <v>-408935.14311127</v>
      </c>
      <c r="BR305" s="13" t="n">
        <f aca="false">BR236</f>
        <v>-408935.14311127</v>
      </c>
      <c r="BS305" s="13" t="n">
        <f aca="false">BS236</f>
        <v>-408935.14311127</v>
      </c>
      <c r="BT305" s="13" t="n">
        <f aca="false">BT236</f>
        <v>-408935.14311127</v>
      </c>
      <c r="BU305" s="13" t="n">
        <f aca="false">BU236</f>
        <v>-608935.14311127</v>
      </c>
      <c r="BV305" s="13" t="n">
        <f aca="false">BV236</f>
        <v>-416702.845973495</v>
      </c>
      <c r="BW305" s="13" t="n">
        <f aca="false">BW236</f>
        <v>-416702.845973495</v>
      </c>
      <c r="BX305" s="13" t="n">
        <f aca="false">BX236</f>
        <v>-416702.845973495</v>
      </c>
      <c r="BY305" s="13" t="n">
        <f aca="false">BY236</f>
        <v>-416702.845973495</v>
      </c>
      <c r="BZ305" s="13" t="n">
        <f aca="false">BZ236</f>
        <v>-416702.845973495</v>
      </c>
      <c r="CA305" s="13" t="n">
        <f aca="false">CA236</f>
        <v>-416702.845973495</v>
      </c>
      <c r="CB305" s="13" t="n">
        <f aca="false">CB236</f>
        <v>-416702.845973495</v>
      </c>
      <c r="CC305" s="13" t="n">
        <f aca="false">CC236</f>
        <v>-416702.845973495</v>
      </c>
      <c r="CD305" s="13" t="n">
        <f aca="false">CD236</f>
        <v>-416702.845973495</v>
      </c>
      <c r="CE305" s="13" t="n">
        <f aca="false">CE236</f>
        <v>-416702.845973495</v>
      </c>
      <c r="CF305" s="13" t="n">
        <f aca="false">CF236</f>
        <v>-416702.845973495</v>
      </c>
      <c r="CG305" s="13" t="n">
        <f aca="false">CG236</f>
        <v>-616702.845973496</v>
      </c>
      <c r="CH305" s="13" t="n">
        <f aca="false">CH236</f>
        <v>-424625.902892965</v>
      </c>
      <c r="CI305" s="13" t="n">
        <f aca="false">CI236</f>
        <v>-424625.902892965</v>
      </c>
      <c r="CJ305" s="13" t="n">
        <f aca="false">CJ236</f>
        <v>-424625.902892965</v>
      </c>
      <c r="CK305" s="13" t="n">
        <f aca="false">CK236</f>
        <v>-424625.902892965</v>
      </c>
      <c r="CL305" s="13" t="n">
        <f aca="false">CL236</f>
        <v>-424625.902892965</v>
      </c>
      <c r="CM305" s="13" t="n">
        <f aca="false">CM236</f>
        <v>-424625.902892965</v>
      </c>
      <c r="CN305" s="13" t="n">
        <f aca="false">CN236</f>
        <v>-424625.902892965</v>
      </c>
      <c r="CO305" s="13" t="n">
        <f aca="false">CO236</f>
        <v>-424625.902892965</v>
      </c>
      <c r="CP305" s="13" t="n">
        <f aca="false">CP236</f>
        <v>-424625.902892965</v>
      </c>
      <c r="CQ305" s="13" t="n">
        <f aca="false">CQ236</f>
        <v>-424625.902892965</v>
      </c>
      <c r="CR305" s="13" t="n">
        <f aca="false">CR236</f>
        <v>-424625.902892965</v>
      </c>
      <c r="CS305" s="13" t="n">
        <f aca="false">CS236</f>
        <v>-624625.902892966</v>
      </c>
      <c r="CT305" s="13" t="n">
        <f aca="false">CT236</f>
        <v>-392165.313083151</v>
      </c>
      <c r="CU305" s="13" t="n">
        <f aca="false">CU236</f>
        <v>-392165.313083151</v>
      </c>
      <c r="CV305" s="13" t="n">
        <f aca="false">CV236</f>
        <v>-392165.313083151</v>
      </c>
      <c r="CW305" s="13" t="n">
        <f aca="false">CW236</f>
        <v>-392165.313083151</v>
      </c>
      <c r="CX305" s="13" t="n">
        <f aca="false">CX236</f>
        <v>-392165.313083151</v>
      </c>
      <c r="CY305" s="13" t="n">
        <f aca="false">CY236</f>
        <v>-392165.313083151</v>
      </c>
      <c r="CZ305" s="13" t="n">
        <f aca="false">CZ236</f>
        <v>-392165.313083151</v>
      </c>
      <c r="DA305" s="13" t="n">
        <f aca="false">DA236</f>
        <v>-392165.313083151</v>
      </c>
      <c r="DB305" s="13" t="n">
        <f aca="false">DB236</f>
        <v>-392165.313083151</v>
      </c>
      <c r="DC305" s="13" t="n">
        <f aca="false">DC236</f>
        <v>-392165.313083151</v>
      </c>
      <c r="DD305" s="13" t="n">
        <f aca="false">DD236</f>
        <v>-392165.313083151</v>
      </c>
      <c r="DE305" s="13" t="n">
        <f aca="false">DE236</f>
        <v>-592165.313083151</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-197545.8</v>
      </c>
      <c r="N306" s="13" t="n">
        <f aca="false">N292</f>
        <v>-199623.995</v>
      </c>
      <c r="O306" s="13" t="n">
        <f aca="false">O292</f>
        <v>-197873.995</v>
      </c>
      <c r="P306" s="13" t="n">
        <f aca="false">P292</f>
        <v>-197873.995</v>
      </c>
      <c r="Q306" s="13" t="n">
        <f aca="false">Q292</f>
        <v>-197873.995</v>
      </c>
      <c r="R306" s="13" t="n">
        <f aca="false">R292</f>
        <v>-196123.995</v>
      </c>
      <c r="S306" s="13" t="n">
        <f aca="false">S292</f>
        <v>-196123.995</v>
      </c>
      <c r="T306" s="13" t="n">
        <f aca="false">T292</f>
        <v>-196123.995</v>
      </c>
      <c r="U306" s="13" t="n">
        <f aca="false">U292</f>
        <v>-196123.995</v>
      </c>
      <c r="V306" s="13" t="n">
        <f aca="false">V292</f>
        <v>-196123.995</v>
      </c>
      <c r="W306" s="13" t="n">
        <f aca="false">W292</f>
        <v>-196123.995</v>
      </c>
      <c r="X306" s="13" t="n">
        <f aca="false">X292</f>
        <v>-196123.995</v>
      </c>
      <c r="Y306" s="13" t="n">
        <f aca="false">Y292</f>
        <v>-196123.995</v>
      </c>
      <c r="Z306" s="13" t="n">
        <f aca="false">Z292</f>
        <v>-199703.7149</v>
      </c>
      <c r="AA306" s="13" t="n">
        <f aca="false">AA292</f>
        <v>-199703.7149</v>
      </c>
      <c r="AB306" s="13" t="n">
        <f aca="false">AB292</f>
        <v>-199703.7149</v>
      </c>
      <c r="AC306" s="13" t="n">
        <f aca="false">AC292</f>
        <v>-199703.7149</v>
      </c>
      <c r="AD306" s="13" t="n">
        <f aca="false">AD292</f>
        <v>-199703.7149</v>
      </c>
      <c r="AE306" s="13" t="n">
        <f aca="false">AE292</f>
        <v>-199703.7149</v>
      </c>
      <c r="AF306" s="13" t="n">
        <f aca="false">AF292</f>
        <v>-199703.7149</v>
      </c>
      <c r="AG306" s="13" t="n">
        <f aca="false">AG292</f>
        <v>-199703.7149</v>
      </c>
      <c r="AH306" s="13" t="n">
        <f aca="false">AH292</f>
        <v>-199703.7149</v>
      </c>
      <c r="AI306" s="13" t="n">
        <f aca="false">AI292</f>
        <v>-199703.7149</v>
      </c>
      <c r="AJ306" s="13" t="n">
        <f aca="false">AJ292</f>
        <v>-199703.7149</v>
      </c>
      <c r="AK306" s="13" t="n">
        <f aca="false">AK292</f>
        <v>-199703.7149</v>
      </c>
      <c r="AL306" s="13" t="n">
        <f aca="false">AL292</f>
        <v>-203355.029198</v>
      </c>
      <c r="AM306" s="13" t="n">
        <f aca="false">AM292</f>
        <v>-203355.029198</v>
      </c>
      <c r="AN306" s="13" t="n">
        <f aca="false">AN292</f>
        <v>-203355.029198</v>
      </c>
      <c r="AO306" s="13" t="n">
        <f aca="false">AO292</f>
        <v>-203355.029198</v>
      </c>
      <c r="AP306" s="13" t="n">
        <f aca="false">AP292</f>
        <v>-203355.029198</v>
      </c>
      <c r="AQ306" s="13" t="n">
        <f aca="false">AQ292</f>
        <v>-203355.029198</v>
      </c>
      <c r="AR306" s="13" t="n">
        <f aca="false">AR292</f>
        <v>-203355.029198</v>
      </c>
      <c r="AS306" s="13" t="n">
        <f aca="false">AS292</f>
        <v>-203355.029198</v>
      </c>
      <c r="AT306" s="13" t="n">
        <f aca="false">AT292</f>
        <v>-285038.029198</v>
      </c>
      <c r="AU306" s="13" t="n">
        <f aca="false">AU292</f>
        <v>-203355.029198</v>
      </c>
      <c r="AV306" s="13" t="n">
        <f aca="false">AV292</f>
        <v>-203355.029198</v>
      </c>
      <c r="AW306" s="13" t="n">
        <f aca="false">AW292</f>
        <v>-285037.029198</v>
      </c>
      <c r="AX306" s="13" t="n">
        <f aca="false">AX292</f>
        <v>-207079.36978196</v>
      </c>
      <c r="AY306" s="13" t="n">
        <f aca="false">AY292</f>
        <v>-207079.36978196</v>
      </c>
      <c r="AZ306" s="13" t="n">
        <f aca="false">AZ292</f>
        <v>-288761.36978196</v>
      </c>
      <c r="BA306" s="13" t="n">
        <f aca="false">BA292</f>
        <v>-207079.36978196</v>
      </c>
      <c r="BB306" s="13" t="n">
        <f aca="false">BB292</f>
        <v>-207079.36978196</v>
      </c>
      <c r="BC306" s="13" t="n">
        <f aca="false">BC292</f>
        <v>-1140600.36978196</v>
      </c>
      <c r="BD306" s="13" t="n">
        <f aca="false">BD292</f>
        <v>-207079.36978196</v>
      </c>
      <c r="BE306" s="13" t="n">
        <f aca="false">BE292</f>
        <v>-207079.36978196</v>
      </c>
      <c r="BF306" s="13" t="n">
        <f aca="false">BF292</f>
        <v>-337957.36978196</v>
      </c>
      <c r="BG306" s="13" t="n">
        <f aca="false">BG292</f>
        <v>-207079.36978196</v>
      </c>
      <c r="BH306" s="13" t="n">
        <f aca="false">BH292</f>
        <v>-207079.36978196</v>
      </c>
      <c r="BI306" s="13" t="n">
        <f aca="false">BI292</f>
        <v>-337955.36978196</v>
      </c>
      <c r="BJ306" s="13" t="n">
        <f aca="false">BJ292</f>
        <v>-210878.197177599</v>
      </c>
      <c r="BK306" s="13" t="n">
        <f aca="false">BK292</f>
        <v>-210878.197177599</v>
      </c>
      <c r="BL306" s="13" t="n">
        <f aca="false">BL292</f>
        <v>-341754.197177599</v>
      </c>
      <c r="BM306" s="13" t="n">
        <f aca="false">BM292</f>
        <v>-210878.197177599</v>
      </c>
      <c r="BN306" s="13" t="n">
        <f aca="false">BN292</f>
        <v>-210878.197177599</v>
      </c>
      <c r="BO306" s="13" t="n">
        <f aca="false">BO292</f>
        <v>-341754.197177599</v>
      </c>
      <c r="BP306" s="13" t="n">
        <f aca="false">BP292</f>
        <v>-210878.197177599</v>
      </c>
      <c r="BQ306" s="13" t="n">
        <f aca="false">BQ292</f>
        <v>-210878.197177599</v>
      </c>
      <c r="BR306" s="13" t="n">
        <f aca="false">BR292</f>
        <v>-300033.847177599</v>
      </c>
      <c r="BS306" s="13" t="n">
        <f aca="false">BS292</f>
        <v>-210878.197177599</v>
      </c>
      <c r="BT306" s="13" t="n">
        <f aca="false">BT292</f>
        <v>-210878.197177599</v>
      </c>
      <c r="BU306" s="13" t="n">
        <f aca="false">BU292</f>
        <v>-285518.197177599</v>
      </c>
      <c r="BV306" s="13" t="n">
        <f aca="false">BV292</f>
        <v>-214753.001121151</v>
      </c>
      <c r="BW306" s="13" t="n">
        <f aca="false">BW292</f>
        <v>-214753.001121151</v>
      </c>
      <c r="BX306" s="13" t="n">
        <f aca="false">BX292</f>
        <v>-289393.001121151</v>
      </c>
      <c r="BY306" s="13" t="n">
        <f aca="false">BY292</f>
        <v>-214753.001121151</v>
      </c>
      <c r="BZ306" s="13" t="n">
        <f aca="false">BZ292</f>
        <v>-214753.001121151</v>
      </c>
      <c r="CA306" s="13" t="n">
        <f aca="false">CA292</f>
        <v>-289393.001121151</v>
      </c>
      <c r="CB306" s="13" t="n">
        <f aca="false">CB292</f>
        <v>-214753.001121151</v>
      </c>
      <c r="CC306" s="13" t="n">
        <f aca="false">CC292</f>
        <v>-214753.001121151</v>
      </c>
      <c r="CD306" s="13" t="n">
        <f aca="false">CD292</f>
        <v>-296116.001121151</v>
      </c>
      <c r="CE306" s="13" t="n">
        <f aca="false">CE292</f>
        <v>-214753.001121151</v>
      </c>
      <c r="CF306" s="13" t="n">
        <f aca="false">CF292</f>
        <v>-214753.001121151</v>
      </c>
      <c r="CG306" s="13" t="n">
        <f aca="false">CG292</f>
        <v>-296115.001121151</v>
      </c>
      <c r="CH306" s="13" t="n">
        <f aca="false">CH292</f>
        <v>-218705.301143574</v>
      </c>
      <c r="CI306" s="13" t="n">
        <f aca="false">CI292</f>
        <v>-218705.301143574</v>
      </c>
      <c r="CJ306" s="13" t="n">
        <f aca="false">CJ292</f>
        <v>-293459.274537095</v>
      </c>
      <c r="CK306" s="13" t="n">
        <f aca="false">CK292</f>
        <v>-218705.301143574</v>
      </c>
      <c r="CL306" s="13" t="n">
        <f aca="false">CL292</f>
        <v>-218705.301143574</v>
      </c>
      <c r="CM306" s="13" t="n">
        <f aca="false">CM292</f>
        <v>-218705.301143574</v>
      </c>
      <c r="CN306" s="13" t="n">
        <f aca="false">CN292</f>
        <v>-218705.301143574</v>
      </c>
      <c r="CO306" s="13" t="n">
        <f aca="false">CO292</f>
        <v>-218705.301143574</v>
      </c>
      <c r="CP306" s="13" t="n">
        <f aca="false">CP292</f>
        <v>-218705.301143574</v>
      </c>
      <c r="CQ306" s="13" t="n">
        <f aca="false">CQ292</f>
        <v>-218705.301143574</v>
      </c>
      <c r="CR306" s="13" t="n">
        <f aca="false">CR292</f>
        <v>-218705.301143574</v>
      </c>
      <c r="CS306" s="13" t="n">
        <f aca="false">CS292</f>
        <v>-218705.301143574</v>
      </c>
      <c r="CT306" s="13" t="n">
        <f aca="false">CT292</f>
        <v>-216757.498956817</v>
      </c>
      <c r="CU306" s="13" t="n">
        <f aca="false">CU292</f>
        <v>-216757.498956817</v>
      </c>
      <c r="CV306" s="13" t="n">
        <f aca="false">CV292</f>
        <v>-216757.498956817</v>
      </c>
      <c r="CW306" s="13" t="n">
        <f aca="false">CW292</f>
        <v>-216757.498956817</v>
      </c>
      <c r="CX306" s="13" t="n">
        <f aca="false">CX292</f>
        <v>-216757.498956817</v>
      </c>
      <c r="CY306" s="13" t="n">
        <f aca="false">CY292</f>
        <v>-216757.498956817</v>
      </c>
      <c r="CZ306" s="13" t="n">
        <f aca="false">CZ292</f>
        <v>-216757.498956817</v>
      </c>
      <c r="DA306" s="13" t="n">
        <f aca="false">DA292</f>
        <v>-216757.498956817</v>
      </c>
      <c r="DB306" s="13" t="n">
        <f aca="false">DB292</f>
        <v>-216757.498956817</v>
      </c>
      <c r="DC306" s="13" t="n">
        <f aca="false">DC292</f>
        <v>-216757.498956817</v>
      </c>
      <c r="DD306" s="13" t="n">
        <f aca="false">DD292</f>
        <v>-216757.498956817</v>
      </c>
      <c r="DE306" s="13" t="n">
        <f aca="false">DE292</f>
        <v>-216757.498956817</v>
      </c>
    </row>
    <row r="307" customFormat="false" ht="15" hidden="false" customHeight="true" outlineLevel="0" collapsed="false">
      <c r="A307" s="41" t="s">
        <v>150</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-600793.429666667</v>
      </c>
      <c r="L307" s="30" t="n">
        <f aca="false">L305+L306+L296</f>
        <v>-593293.429666667</v>
      </c>
      <c r="M307" s="30" t="n">
        <f aca="false">M305+M306+M296</f>
        <v>-695133.429666667</v>
      </c>
      <c r="N307" s="30" t="n">
        <f aca="false">N305+N306+N296</f>
        <v>-615771.833</v>
      </c>
      <c r="O307" s="30" t="n">
        <f aca="false">O305+O306+O296</f>
        <v>-634990.583</v>
      </c>
      <c r="P307" s="30" t="n">
        <f aca="false">P305+P306+P296</f>
        <v>-602115.583</v>
      </c>
      <c r="Q307" s="30" t="n">
        <f aca="false">Q305+Q306+Q296</f>
        <v>-602115.583</v>
      </c>
      <c r="R307" s="30" t="n">
        <f aca="false">R305+R306+R296</f>
        <v>-600365.583</v>
      </c>
      <c r="S307" s="30" t="n">
        <f aca="false">S305+S306+S296</f>
        <v>-696821.833</v>
      </c>
      <c r="T307" s="30" t="n">
        <f aca="false">T305+T306+T296</f>
        <v>-653696.833</v>
      </c>
      <c r="U307" s="30" t="n">
        <f aca="false">U305+U306+U296</f>
        <v>-653696.833</v>
      </c>
      <c r="V307" s="30" t="n">
        <f aca="false">V305+V306+V296</f>
        <v>-653696.833</v>
      </c>
      <c r="W307" s="30" t="n">
        <f aca="false">W305+W306+W296</f>
        <v>-653696.833</v>
      </c>
      <c r="X307" s="30" t="n">
        <f aca="false">X305+X306+X296</f>
        <v>-653696.833</v>
      </c>
      <c r="Y307" s="30" t="n">
        <f aca="false">Y305+Y306+Y296</f>
        <v>-853696.833</v>
      </c>
      <c r="Z307" s="30" t="n">
        <f aca="false">Z305+Z306+Z296</f>
        <v>-662470.251967692</v>
      </c>
      <c r="AA307" s="30" t="n">
        <f aca="false">AA305+AA306+AA296</f>
        <v>-640162.55966</v>
      </c>
      <c r="AB307" s="30" t="n">
        <f aca="false">AB305+AB306+AB296</f>
        <v>-635123.211583077</v>
      </c>
      <c r="AC307" s="30" t="n">
        <f aca="false">AC305+AC306+AC296</f>
        <v>-613200.13466</v>
      </c>
      <c r="AD307" s="30" t="n">
        <f aca="false">AD305+AD306+AD296</f>
        <v>-608160.786583077</v>
      </c>
      <c r="AE307" s="30" t="n">
        <f aca="false">AE305+AE306+AE296</f>
        <v>-586237.70966</v>
      </c>
      <c r="AF307" s="30" t="n">
        <f aca="false">AF305+AF306+AF296</f>
        <v>-586237.70966</v>
      </c>
      <c r="AG307" s="30" t="n">
        <f aca="false">AG305+AG306+AG296</f>
        <v>-586237.70966</v>
      </c>
      <c r="AH307" s="30" t="n">
        <f aca="false">AH305+AH306+AH296</f>
        <v>-586237.70966</v>
      </c>
      <c r="AI307" s="30" t="n">
        <f aca="false">AI305+AI306+AI296</f>
        <v>-586237.70966</v>
      </c>
      <c r="AJ307" s="30" t="n">
        <f aca="false">AJ305+AJ306+AJ296</f>
        <v>-586237.70966</v>
      </c>
      <c r="AK307" s="30" t="n">
        <f aca="false">AK305+AK306+AK296</f>
        <v>-786237.70966</v>
      </c>
      <c r="AL307" s="30" t="n">
        <f aca="false">AL305+AL306+AL296</f>
        <v>-597208.7038532</v>
      </c>
      <c r="AM307" s="30" t="n">
        <f aca="false">AM305+AM306+AM296</f>
        <v>-597208.7038532</v>
      </c>
      <c r="AN307" s="30" t="n">
        <f aca="false">AN305+AN306+AN296</f>
        <v>-597208.7038532</v>
      </c>
      <c r="AO307" s="30" t="n">
        <f aca="false">AO305+AO306+AO296</f>
        <v>-597208.7038532</v>
      </c>
      <c r="AP307" s="30" t="n">
        <f aca="false">AP305+AP306+AP296</f>
        <v>-597208.7038532</v>
      </c>
      <c r="AQ307" s="30" t="n">
        <f aca="false">AQ305+AQ306+AQ296</f>
        <v>-597208.7038532</v>
      </c>
      <c r="AR307" s="30" t="n">
        <f aca="false">AR305+AR306+AR296</f>
        <v>-597208.7038532</v>
      </c>
      <c r="AS307" s="30" t="n">
        <f aca="false">AS305+AS306+AS296</f>
        <v>-597208.7038532</v>
      </c>
      <c r="AT307" s="30" t="n">
        <f aca="false">AT305+AT306+AT296</f>
        <v>-678891.7038532</v>
      </c>
      <c r="AU307" s="30" t="n">
        <f aca="false">AU305+AU306+AU296</f>
        <v>-597208.7038532</v>
      </c>
      <c r="AV307" s="30" t="n">
        <f aca="false">AV305+AV306+AV296</f>
        <v>-597208.7038532</v>
      </c>
      <c r="AW307" s="30" t="n">
        <f aca="false">AW305+AW306+AW296</f>
        <v>-878890.7038532</v>
      </c>
      <c r="AX307" s="30" t="n">
        <f aca="false">AX305+AX306+AX296</f>
        <v>-608399.117930264</v>
      </c>
      <c r="AY307" s="30" t="n">
        <f aca="false">AY305+AY306+AY296</f>
        <v>-608399.117930264</v>
      </c>
      <c r="AZ307" s="30" t="n">
        <f aca="false">AZ305+AZ306+AZ296</f>
        <v>-690081.117930264</v>
      </c>
      <c r="BA307" s="30" t="n">
        <f aca="false">BA305+BA306+BA296</f>
        <v>-608399.117930264</v>
      </c>
      <c r="BB307" s="30" t="n">
        <f aca="false">BB305+BB306+BB296</f>
        <v>-608399.117930264</v>
      </c>
      <c r="BC307" s="30" t="n">
        <f aca="false">BC305+BC306+BC296</f>
        <v>-1541920.11793026</v>
      </c>
      <c r="BD307" s="30" t="n">
        <f aca="false">BD305+BD306+BD296</f>
        <v>-608399.117930264</v>
      </c>
      <c r="BE307" s="30" t="n">
        <f aca="false">BE305+BE306+BE296</f>
        <v>-608399.117930264</v>
      </c>
      <c r="BF307" s="30" t="n">
        <f aca="false">BF305+BF306+BF296</f>
        <v>-739277.117930264</v>
      </c>
      <c r="BG307" s="30" t="n">
        <f aca="false">BG305+BG306+BG296</f>
        <v>-608399.117930264</v>
      </c>
      <c r="BH307" s="30" t="n">
        <f aca="false">BH305+BH306+BH296</f>
        <v>-608399.117930264</v>
      </c>
      <c r="BI307" s="30" t="n">
        <f aca="false">BI305+BI306+BI296</f>
        <v>-939275.117930264</v>
      </c>
      <c r="BJ307" s="30" t="n">
        <f aca="false">BJ305+BJ306+BJ296</f>
        <v>-619813.340288869</v>
      </c>
      <c r="BK307" s="30" t="n">
        <f aca="false">BK305+BK306+BK296</f>
        <v>-619813.340288869</v>
      </c>
      <c r="BL307" s="30" t="n">
        <f aca="false">BL305+BL306+BL296</f>
        <v>-750689.340288869</v>
      </c>
      <c r="BM307" s="30" t="n">
        <f aca="false">BM305+BM306+BM296</f>
        <v>-619813.340288869</v>
      </c>
      <c r="BN307" s="30" t="n">
        <f aca="false">BN305+BN306+BN296</f>
        <v>-619813.340288869</v>
      </c>
      <c r="BO307" s="30" t="n">
        <f aca="false">BO305+BO306+BO296</f>
        <v>-750689.340288869</v>
      </c>
      <c r="BP307" s="30" t="n">
        <f aca="false">BP305+BP306+BP296</f>
        <v>-619813.340288869</v>
      </c>
      <c r="BQ307" s="30" t="n">
        <f aca="false">BQ305+BQ306+BQ296</f>
        <v>-619813.340288869</v>
      </c>
      <c r="BR307" s="30" t="n">
        <f aca="false">BR305+BR306+BR296</f>
        <v>-708968.990288869</v>
      </c>
      <c r="BS307" s="30" t="n">
        <f aca="false">BS305+BS306+BS296</f>
        <v>-619813.340288869</v>
      </c>
      <c r="BT307" s="30" t="n">
        <f aca="false">BT305+BT306+BT296</f>
        <v>-619813.340288869</v>
      </c>
      <c r="BU307" s="30" t="n">
        <f aca="false">BU305+BU306+BU296</f>
        <v>-894453.340288869</v>
      </c>
      <c r="BV307" s="30" t="n">
        <f aca="false">BV305+BV306+BV296</f>
        <v>-631455.847094647</v>
      </c>
      <c r="BW307" s="30" t="n">
        <f aca="false">BW305+BW306+BW296</f>
        <v>-631455.847094647</v>
      </c>
      <c r="BX307" s="30" t="n">
        <f aca="false">BX305+BX306+BX296</f>
        <v>-706095.847094647</v>
      </c>
      <c r="BY307" s="30" t="n">
        <f aca="false">BY305+BY306+BY296</f>
        <v>-631455.847094647</v>
      </c>
      <c r="BZ307" s="30" t="n">
        <f aca="false">BZ305+BZ306+BZ296</f>
        <v>-631455.847094647</v>
      </c>
      <c r="CA307" s="30" t="n">
        <f aca="false">CA305+CA306+CA296</f>
        <v>-706095.847094647</v>
      </c>
      <c r="CB307" s="30" t="n">
        <f aca="false">CB305+CB306+CB296</f>
        <v>-631455.847094647</v>
      </c>
      <c r="CC307" s="30" t="n">
        <f aca="false">CC305+CC306+CC296</f>
        <v>-631455.847094647</v>
      </c>
      <c r="CD307" s="30" t="n">
        <f aca="false">CD305+CD306+CD296</f>
        <v>-712818.847094647</v>
      </c>
      <c r="CE307" s="30" t="n">
        <f aca="false">CE305+CE306+CE296</f>
        <v>-631455.847094647</v>
      </c>
      <c r="CF307" s="30" t="n">
        <f aca="false">CF305+CF306+CF296</f>
        <v>-631455.847094647</v>
      </c>
      <c r="CG307" s="30" t="n">
        <f aca="false">CG305+CG306+CG296</f>
        <v>-912817.847094647</v>
      </c>
      <c r="CH307" s="30" t="n">
        <f aca="false">CH305+CH306+CH296</f>
        <v>-643331.20403654</v>
      </c>
      <c r="CI307" s="30" t="n">
        <f aca="false">CI305+CI306+CI296</f>
        <v>-643331.20403654</v>
      </c>
      <c r="CJ307" s="30" t="n">
        <f aca="false">CJ305+CJ306+CJ296</f>
        <v>-718085.177430061</v>
      </c>
      <c r="CK307" s="30" t="n">
        <f aca="false">CK305+CK306+CK296</f>
        <v>-643331.20403654</v>
      </c>
      <c r="CL307" s="30" t="n">
        <f aca="false">CL305+CL306+CL296</f>
        <v>-643331.20403654</v>
      </c>
      <c r="CM307" s="30" t="n">
        <f aca="false">CM305+CM306+CM296</f>
        <v>-643331.20403654</v>
      </c>
      <c r="CN307" s="30" t="n">
        <f aca="false">CN305+CN306+CN296</f>
        <v>-643331.20403654</v>
      </c>
      <c r="CO307" s="30" t="n">
        <f aca="false">CO305+CO306+CO296</f>
        <v>-643331.20403654</v>
      </c>
      <c r="CP307" s="30" t="n">
        <f aca="false">CP305+CP306+CP296</f>
        <v>-643331.20403654</v>
      </c>
      <c r="CQ307" s="30" t="n">
        <f aca="false">CQ305+CQ306+CQ296</f>
        <v>-643331.20403654</v>
      </c>
      <c r="CR307" s="30" t="n">
        <f aca="false">CR305+CR306+CR296</f>
        <v>-643331.20403654</v>
      </c>
      <c r="CS307" s="30" t="n">
        <f aca="false">CS305+CS306+CS296</f>
        <v>-843331.20403654</v>
      </c>
      <c r="CT307" s="30" t="n">
        <f aca="false">CT305+CT306+CT296</f>
        <v>-608922.812039968</v>
      </c>
      <c r="CU307" s="30" t="n">
        <f aca="false">CU305+CU306+CU296</f>
        <v>-608922.812039968</v>
      </c>
      <c r="CV307" s="30" t="n">
        <f aca="false">CV305+CV306+CV296</f>
        <v>-608922.812039968</v>
      </c>
      <c r="CW307" s="30" t="n">
        <f aca="false">CW305+CW306+CW296</f>
        <v>-608922.812039968</v>
      </c>
      <c r="CX307" s="30" t="n">
        <f aca="false">CX305+CX306+CX296</f>
        <v>-608922.812039968</v>
      </c>
      <c r="CY307" s="30" t="n">
        <f aca="false">CY305+CY306+CY296</f>
        <v>-608922.812039968</v>
      </c>
      <c r="CZ307" s="30" t="n">
        <f aca="false">CZ305+CZ306+CZ296</f>
        <v>-608922.812039968</v>
      </c>
      <c r="DA307" s="30" t="n">
        <f aca="false">DA305+DA306+DA296</f>
        <v>-608922.812039968</v>
      </c>
      <c r="DB307" s="30" t="n">
        <f aca="false">DB305+DB306+DB296</f>
        <v>-608922.812039968</v>
      </c>
      <c r="DC307" s="30" t="n">
        <f aca="false">DC305+DC306+DC296</f>
        <v>-608922.812039968</v>
      </c>
      <c r="DD307" s="30" t="n">
        <f aca="false">DD305+DD306+DD296</f>
        <v>-608922.812039968</v>
      </c>
      <c r="DE307" s="30" t="n">
        <f aca="false">DE305+DE306+DE296</f>
        <v>-808922.812039968</v>
      </c>
    </row>
    <row r="308" customFormat="false" ht="19.5" hidden="false" customHeight="true" outlineLevel="0" collapsed="false">
      <c r="A308" s="42" t="s">
        <v>151</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-442145.483908332</v>
      </c>
      <c r="L308" s="37" t="n">
        <f aca="false">L304+L307</f>
        <v>-111572.136783333</v>
      </c>
      <c r="M308" s="37" t="n">
        <f aca="false">M304+M307</f>
        <v>-128565.196783333</v>
      </c>
      <c r="N308" s="37" t="n">
        <f aca="false">N304+N307</f>
        <v>76711.2184554921</v>
      </c>
      <c r="O308" s="37" t="n">
        <f aca="false">O304+O307</f>
        <v>89911.3796732848</v>
      </c>
      <c r="P308" s="37" t="n">
        <f aca="false">P304+P307</f>
        <v>142176.382706284</v>
      </c>
      <c r="Q308" s="37" t="n">
        <f aca="false">Q304+Q307</f>
        <v>115817.699673284</v>
      </c>
      <c r="R308" s="37" t="n">
        <f aca="false">R304+R307</f>
        <v>104172.989673281</v>
      </c>
      <c r="S308" s="37" t="n">
        <f aca="false">S304+S307</f>
        <v>-290073.316623367</v>
      </c>
      <c r="T308" s="37" t="n">
        <f aca="false">T304+T307</f>
        <v>395944.412886435</v>
      </c>
      <c r="U308" s="37" t="n">
        <f aca="false">U304+U307</f>
        <v>292242.352886435</v>
      </c>
      <c r="V308" s="37" t="n">
        <f aca="false">V304+V307</f>
        <v>378113.622886434</v>
      </c>
      <c r="W308" s="37" t="n">
        <f aca="false">W304+W307</f>
        <v>198958.792886433</v>
      </c>
      <c r="X308" s="37" t="n">
        <f aca="false">X304+X307</f>
        <v>349622.752886435</v>
      </c>
      <c r="Y308" s="37" t="n">
        <f aca="false">Y304+Y307</f>
        <v>23470.8328864346</v>
      </c>
      <c r="Z308" s="37" t="n">
        <f aca="false">Z304+Z307</f>
        <v>257249.413918742</v>
      </c>
      <c r="AA308" s="37" t="n">
        <f aca="false">AA304+AA307</f>
        <v>189390.166226432</v>
      </c>
      <c r="AB308" s="37" t="n">
        <f aca="false">AB304+AB307</f>
        <v>113670.244303357</v>
      </c>
      <c r="AC308" s="37" t="n">
        <f aca="false">AC304+AC307</f>
        <v>-18018.5187735626</v>
      </c>
      <c r="AD308" s="37" t="n">
        <f aca="false">AD304+AD307</f>
        <v>9586.86930335767</v>
      </c>
      <c r="AE308" s="37" t="n">
        <f aca="false">AE304+AE307</f>
        <v>79968.6262264317</v>
      </c>
      <c r="AF308" s="37" t="n">
        <f aca="false">AF304+AF307</f>
        <v>180977.752945086</v>
      </c>
      <c r="AG308" s="37" t="n">
        <f aca="false">AG304+AG307</f>
        <v>111219.361251892</v>
      </c>
      <c r="AH308" s="37" t="n">
        <f aca="false">AH304+AH307</f>
        <v>-28274.016446851</v>
      </c>
      <c r="AI308" s="37" t="n">
        <f aca="false">AI304+AI307</f>
        <v>-43137.7264468453</v>
      </c>
      <c r="AJ308" s="37" t="n">
        <f aca="false">AJ304+AJ307</f>
        <v>-163711.656446853</v>
      </c>
      <c r="AK308" s="37" t="n">
        <f aca="false">AK304+AK307</f>
        <v>-388301.36644685</v>
      </c>
      <c r="AL308" s="37" t="n">
        <f aca="false">AL304+AL307</f>
        <v>-185201.650640049</v>
      </c>
      <c r="AM308" s="37" t="n">
        <f aca="false">AM304+AM307</f>
        <v>-173518.610640051</v>
      </c>
      <c r="AN308" s="37" t="n">
        <f aca="false">AN304+AN307</f>
        <v>-280186.120640052</v>
      </c>
      <c r="AO308" s="37" t="n">
        <f aca="false">AO304+AO307</f>
        <v>-319446.86064005</v>
      </c>
      <c r="AP308" s="37" t="n">
        <f aca="false">AP304+AP307</f>
        <v>-186578.263811502</v>
      </c>
      <c r="AQ308" s="37" t="n">
        <f aca="false">AQ304+AQ307</f>
        <v>-424634.499795983</v>
      </c>
      <c r="AR308" s="37" t="n">
        <f aca="false">AR304+AR307</f>
        <v>-424634.499795983</v>
      </c>
      <c r="AS308" s="37" t="n">
        <f aca="false">AS304+AS307</f>
        <v>-424634.499795983</v>
      </c>
      <c r="AT308" s="37" t="n">
        <f aca="false">AT304+AT307</f>
        <v>-424634.499795983</v>
      </c>
      <c r="AU308" s="37" t="n">
        <f aca="false">AU304+AU307</f>
        <v>-424634.499795983</v>
      </c>
      <c r="AV308" s="37" t="n">
        <f aca="false">AV304+AV307</f>
        <v>-152148.914442483</v>
      </c>
      <c r="AW308" s="37" t="n">
        <f aca="false">AW304+AW307</f>
        <v>-797208.7038532</v>
      </c>
      <c r="AX308" s="37" t="n">
        <f aca="false">AX304+AX307</f>
        <v>-608399.117930264</v>
      </c>
      <c r="AY308" s="37" t="n">
        <f aca="false">AY304+AY307</f>
        <v>-608399.117930264</v>
      </c>
      <c r="AZ308" s="37" t="n">
        <f aca="false">AZ304+AZ307</f>
        <v>-608399.117930264</v>
      </c>
      <c r="BA308" s="37" t="n">
        <f aca="false">BA304+BA307</f>
        <v>-608399.117930264</v>
      </c>
      <c r="BB308" s="37" t="n">
        <f aca="false">BB304+BB307</f>
        <v>-608399.117930264</v>
      </c>
      <c r="BC308" s="37" t="n">
        <f aca="false">BC304+BC307</f>
        <v>-608399.117930264</v>
      </c>
      <c r="BD308" s="37" t="n">
        <f aca="false">BD304+BD307</f>
        <v>-608399.117930264</v>
      </c>
      <c r="BE308" s="37" t="n">
        <f aca="false">BE304+BE307</f>
        <v>-608399.117930264</v>
      </c>
      <c r="BF308" s="37" t="n">
        <f aca="false">BF304+BF307</f>
        <v>-608399.117930264</v>
      </c>
      <c r="BG308" s="37" t="n">
        <f aca="false">BG304+BG307</f>
        <v>-608399.117930264</v>
      </c>
      <c r="BH308" s="37" t="n">
        <f aca="false">BH304+BH307</f>
        <v>-608399.117930264</v>
      </c>
      <c r="BI308" s="37" t="n">
        <f aca="false">BI304+BI307</f>
        <v>-808399.117930264</v>
      </c>
      <c r="BJ308" s="37" t="n">
        <f aca="false">BJ304+BJ307</f>
        <v>-619813.340288869</v>
      </c>
      <c r="BK308" s="37" t="n">
        <f aca="false">BK304+BK307</f>
        <v>-619813.340288869</v>
      </c>
      <c r="BL308" s="37" t="n">
        <f aca="false">BL304+BL307</f>
        <v>-619813.340288869</v>
      </c>
      <c r="BM308" s="37" t="n">
        <f aca="false">BM304+BM307</f>
        <v>-619813.340288869</v>
      </c>
      <c r="BN308" s="37" t="n">
        <f aca="false">BN304+BN307</f>
        <v>-619813.340288869</v>
      </c>
      <c r="BO308" s="37" t="n">
        <f aca="false">BO304+BO307</f>
        <v>-619813.340288869</v>
      </c>
      <c r="BP308" s="37" t="n">
        <f aca="false">BP304+BP307</f>
        <v>-619813.340288869</v>
      </c>
      <c r="BQ308" s="37" t="n">
        <f aca="false">BQ304+BQ307</f>
        <v>-619813.340288869</v>
      </c>
      <c r="BR308" s="37" t="n">
        <f aca="false">BR304+BR307</f>
        <v>-566562.990288869</v>
      </c>
      <c r="BS308" s="37" t="n">
        <f aca="false">BS304+BS307</f>
        <v>-619813.340288869</v>
      </c>
      <c r="BT308" s="37" t="n">
        <f aca="false">BT304+BT307</f>
        <v>-619813.340288869</v>
      </c>
      <c r="BU308" s="37" t="n">
        <f aca="false">BU304+BU307</f>
        <v>-752051.340288869</v>
      </c>
      <c r="BV308" s="37" t="n">
        <f aca="false">BV304+BV307</f>
        <v>-631455.847094647</v>
      </c>
      <c r="BW308" s="37" t="n">
        <f aca="false">BW304+BW307</f>
        <v>-631455.847094647</v>
      </c>
      <c r="BX308" s="37" t="n">
        <f aca="false">BX304+BX307</f>
        <v>-563693.847094647</v>
      </c>
      <c r="BY308" s="37" t="n">
        <f aca="false">BY304+BY307</f>
        <v>-631455.847094647</v>
      </c>
      <c r="BZ308" s="37" t="n">
        <f aca="false">BZ304+BZ307</f>
        <v>-631455.847094647</v>
      </c>
      <c r="CA308" s="37" t="n">
        <f aca="false">CA304+CA307</f>
        <v>-563693.847094647</v>
      </c>
      <c r="CB308" s="37" t="n">
        <f aca="false">CB304+CB307</f>
        <v>-631455.847094647</v>
      </c>
      <c r="CC308" s="37" t="n">
        <f aca="false">CC304+CC307</f>
        <v>-631455.847094647</v>
      </c>
      <c r="CD308" s="37" t="n">
        <f aca="false">CD304+CD307</f>
        <v>-554956.847094647</v>
      </c>
      <c r="CE308" s="37" t="n">
        <f aca="false">CE304+CE307</f>
        <v>-631455.847094647</v>
      </c>
      <c r="CF308" s="37" t="n">
        <f aca="false">CF304+CF307</f>
        <v>-631455.847094647</v>
      </c>
      <c r="CG308" s="37" t="n">
        <f aca="false">CG304+CG307</f>
        <v>-754956.847094647</v>
      </c>
      <c r="CH308" s="37" t="n">
        <f aca="false">CH304+CH307</f>
        <v>-643331.20403654</v>
      </c>
      <c r="CI308" s="37" t="n">
        <f aca="false">CI304+CI307</f>
        <v>-643331.20403654</v>
      </c>
      <c r="CJ308" s="37" t="n">
        <f aca="false">CJ304+CJ307</f>
        <v>-560224.177430061</v>
      </c>
      <c r="CK308" s="37" t="n">
        <f aca="false">CK304+CK307</f>
        <v>-485470.20403654</v>
      </c>
      <c r="CL308" s="37" t="n">
        <f aca="false">CL304+CL307</f>
        <v>-485470.20403654</v>
      </c>
      <c r="CM308" s="37" t="n">
        <f aca="false">CM304+CM307</f>
        <v>-485470.20403654</v>
      </c>
      <c r="CN308" s="37" t="n">
        <f aca="false">CN304+CN307</f>
        <v>-485470.20403654</v>
      </c>
      <c r="CO308" s="37" t="n">
        <f aca="false">CO304+CO307</f>
        <v>-485470.20403654</v>
      </c>
      <c r="CP308" s="37" t="n">
        <f aca="false">CP304+CP307</f>
        <v>-485470.20403654</v>
      </c>
      <c r="CQ308" s="37" t="n">
        <f aca="false">CQ304+CQ307</f>
        <v>-485470.20403654</v>
      </c>
      <c r="CR308" s="37" t="n">
        <f aca="false">CR304+CR307</f>
        <v>-485470.20403654</v>
      </c>
      <c r="CS308" s="37" t="n">
        <f aca="false">CS304+CS307</f>
        <v>-685470.20403654</v>
      </c>
      <c r="CT308" s="37" t="n">
        <f aca="false">CT304+CT307</f>
        <v>-451061.812039968</v>
      </c>
      <c r="CU308" s="37" t="n">
        <f aca="false">CU304+CU307</f>
        <v>-451061.812039968</v>
      </c>
      <c r="CV308" s="37" t="n">
        <f aca="false">CV304+CV307</f>
        <v>-451061.812039968</v>
      </c>
      <c r="CW308" s="37" t="n">
        <f aca="false">CW304+CW307</f>
        <v>-451061.812039968</v>
      </c>
      <c r="CX308" s="37" t="n">
        <f aca="false">CX304+CX307</f>
        <v>-451061.812039968</v>
      </c>
      <c r="CY308" s="37" t="n">
        <f aca="false">CY304+CY307</f>
        <v>-451061.812039968</v>
      </c>
      <c r="CZ308" s="37" t="n">
        <f aca="false">CZ304+CZ307</f>
        <v>-451061.812039968</v>
      </c>
      <c r="DA308" s="37" t="n">
        <f aca="false">DA304+DA307</f>
        <v>-451061.812039968</v>
      </c>
      <c r="DB308" s="37" t="n">
        <f aca="false">DB304+DB307</f>
        <v>-451061.812039968</v>
      </c>
      <c r="DC308" s="37" t="n">
        <f aca="false">DC304+DC307</f>
        <v>-451061.812039968</v>
      </c>
      <c r="DD308" s="37" t="n">
        <f aca="false">DD304+DD307</f>
        <v>-451061.812039968</v>
      </c>
      <c r="DE308" s="37" t="n">
        <f aca="false">DE304+DE307</f>
        <v>-651061.812039968</v>
      </c>
    </row>
    <row r="309" customFormat="false" ht="19.5" hidden="false" customHeight="true" outlineLevel="0" collapsed="false">
      <c r="A309" s="43" t="s">
        <v>152</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0.11077703388445</v>
      </c>
      <c r="O309" s="33" t="n">
        <f aca="false">IFERROR(IF(OR(O304&lt;=0,O308/O304&lt;0,O308/O304&gt;1),0,O308/O304),0)</f>
        <v>0.124032468255032</v>
      </c>
      <c r="P309" s="33" t="n">
        <f aca="false">IFERROR(IF(OR(P304&lt;=0,P308/P304&lt;0,P308/P304&gt;1),0,P308/P304),0)</f>
        <v>0.191022326260593</v>
      </c>
      <c r="Q309" s="33" t="n">
        <f aca="false">IFERROR(IF(OR(Q304&lt;=0,Q308/Q304&lt;0,Q308/Q304&gt;1),0,Q308/Q304),0)</f>
        <v>0.161320978520493</v>
      </c>
      <c r="R309" s="33" t="n">
        <f aca="false">IFERROR(IF(OR(R304&lt;=0,R308/R304&lt;0,R308/R304&gt;1),0,R308/R304),0)</f>
        <v>0.147859881224119</v>
      </c>
      <c r="S309" s="33" t="n">
        <f aca="false">IFERROR(IF(OR(S304&lt;=0,S308/S304&lt;0,S308/S304&gt;1),0,S308/S304),0)</f>
        <v>0</v>
      </c>
      <c r="T309" s="33" t="n">
        <f aca="false">IFERROR(IF(OR(T304&lt;=0,T308/T304&lt;0,T308/T304&gt;1),0,T308/T304),0)</f>
        <v>0.37721880160307</v>
      </c>
      <c r="U309" s="33" t="n">
        <f aca="false">IFERROR(IF(OR(U304&lt;=0,U308/U304&lt;0,U308/U304&gt;1),0,U308/U304),0)</f>
        <v>0.308944123730931</v>
      </c>
      <c r="V309" s="33" t="n">
        <f aca="false">IFERROR(IF(OR(V304&lt;=0,V308/V304&lt;0,V308/V304&gt;1),0,V308/V304),0)</f>
        <v>0.36645647534323</v>
      </c>
      <c r="W309" s="33" t="n">
        <f aca="false">IFERROR(IF(OR(W304&lt;=0,W308/W304&lt;0,W308/W304&gt;1),0,W308/W304),0)</f>
        <v>0.233340151458676</v>
      </c>
      <c r="X309" s="33" t="n">
        <f aca="false">IFERROR(IF(OR(X304&lt;=0,X308/X304&lt;0,X308/X304&gt;1),0,X308/X304),0)</f>
        <v>0.348465990103784</v>
      </c>
      <c r="Y309" s="33" t="n">
        <f aca="false">IFERROR(IF(OR(Y304&lt;=0,Y308/Y304&lt;0,Y308/Y304&gt;1),0,Y308/Y304),0)</f>
        <v>0.0267575217364127</v>
      </c>
      <c r="Z309" s="33" t="n">
        <f aca="false">IFERROR(IF(OR(Z304&lt;=0,Z308/Z304&lt;0,Z308/Z304&gt;1),0,Z308/Z304),0)</f>
        <v>0.279704157104005</v>
      </c>
      <c r="AA309" s="33" t="n">
        <f aca="false">IFERROR(IF(OR(AA304&lt;=0,AA308/AA304&lt;0,AA308/AA304&gt;1),0,AA308/AA304),0)</f>
        <v>0.228303952619836</v>
      </c>
      <c r="AB309" s="33" t="n">
        <f aca="false">IFERROR(IF(OR(AB304&lt;=0,AB308/AB304&lt;0,AB308/AB304&gt;1),0,AB308/AB304),0)</f>
        <v>0.151804537566093</v>
      </c>
      <c r="AC309" s="33" t="n">
        <f aca="false">IFERROR(IF(OR(AC304&lt;=0,AC308/AC304&lt;0,AC308/AC304&gt;1),0,AC308/AC304),0)</f>
        <v>0</v>
      </c>
      <c r="AD309" s="33" t="n">
        <f aca="false">IFERROR(IF(OR(AD304&lt;=0,AD308/AD304&lt;0,AD308/AD304&gt;1),0,AD308/AD304),0)</f>
        <v>0.0155190703064685</v>
      </c>
      <c r="AE309" s="33" t="n">
        <f aca="false">IFERROR(IF(OR(AE304&lt;=0,AE308/AE304&lt;0,AE308/AE304&gt;1),0,AE308/AE304),0)</f>
        <v>0.12003582361616</v>
      </c>
      <c r="AF309" s="33" t="n">
        <f aca="false">IFERROR(IF(OR(AF304&lt;=0,AF308/AF304&lt;0,AF308/AF304&gt;1),0,AF308/AF304),0)</f>
        <v>0.235889084313518</v>
      </c>
      <c r="AG309" s="33" t="n">
        <f aca="false">IFERROR(IF(OR(AG304&lt;=0,AG308/AG304&lt;0,AG308/AG304&gt;1),0,AG308/AG304),0)</f>
        <v>0.159464095914144</v>
      </c>
      <c r="AH309" s="33" t="n">
        <f aca="false">IFERROR(IF(OR(AH304&lt;=0,AH308/AH304&lt;0,AH308/AH304&gt;1),0,AH308/AH304),0)</f>
        <v>0</v>
      </c>
      <c r="AI309" s="33" t="n">
        <f aca="false">IFERROR(IF(OR(AI304&lt;=0,AI308/AI304&lt;0,AI308/AI304&gt;1),0,AI308/AI304),0)</f>
        <v>0</v>
      </c>
      <c r="AJ309" s="33" t="n">
        <f aca="false">IFERROR(IF(OR(AJ304&lt;=0,AJ308/AJ304&lt;0,AJ308/AJ304&gt;1),0,AJ308/AJ304),0)</f>
        <v>0</v>
      </c>
      <c r="AK309" s="33" t="n">
        <f aca="false">IFERROR(IF(OR(AK304&lt;=0,AK308/AK304&lt;0,AK308/AK304&gt;1),0,AK308/AK304),0)</f>
        <v>0</v>
      </c>
      <c r="AL309" s="33" t="n">
        <f aca="false">IFERROR(IF(OR(AL304&lt;=0,AL308/AL304&lt;0,AL308/AL304&gt;1),0,AL308/AL304),0)</f>
        <v>0</v>
      </c>
      <c r="AM309" s="33" t="n">
        <f aca="false">IFERROR(IF(OR(AM304&lt;=0,AM308/AM304&lt;0,AM308/AM304&gt;1),0,AM308/AM304),0)</f>
        <v>0</v>
      </c>
      <c r="AN309" s="33" t="n">
        <f aca="false">IFERROR(IF(OR(AN304&lt;=0,AN308/AN304&lt;0,AN308/AN304&gt;1),0,AN308/AN304),0)</f>
        <v>0</v>
      </c>
      <c r="AO309" s="33" t="n">
        <f aca="false">IFERROR(IF(OR(AO304&lt;=0,AO308/AO304&lt;0,AO308/AO304&gt;1),0,AO308/AO304),0)</f>
        <v>0</v>
      </c>
      <c r="AP309" s="33" t="n">
        <f aca="false">IFERROR(IF(OR(AP304&lt;=0,AP308/AP304&lt;0,AP308/AP304&gt;1),0,AP308/AP304),0)</f>
        <v>0</v>
      </c>
      <c r="AQ309" s="33" t="n">
        <f aca="false">IFERROR(IF(OR(AQ304&lt;=0,AQ308/AQ304&lt;0,AQ308/AQ304&gt;1),0,AQ308/AQ304),0)</f>
        <v>0</v>
      </c>
      <c r="AR309" s="33" t="n">
        <f aca="false">IFERROR(IF(OR(AR304&lt;=0,AR308/AR304&lt;0,AR308/AR304&gt;1),0,AR308/AR304),0)</f>
        <v>0</v>
      </c>
      <c r="AS309" s="33" t="n">
        <f aca="false">IFERROR(IF(OR(AS304&lt;=0,AS308/AS304&lt;0,AS308/AS304&gt;1),0,AS308/AS304),0)</f>
        <v>0</v>
      </c>
      <c r="AT309" s="33" t="n">
        <f aca="false">IFERROR(IF(OR(AT304&lt;=0,AT308/AT304&lt;0,AT308/AT304&gt;1),0,AT308/AT304),0)</f>
        <v>0</v>
      </c>
      <c r="AU309" s="33" t="n">
        <f aca="false">IFERROR(IF(OR(AU304&lt;=0,AU308/AU304&lt;0,AU308/AU304&gt;1),0,AU308/AU304),0)</f>
        <v>0</v>
      </c>
      <c r="AV309" s="33" t="n">
        <f aca="false">IFERROR(IF(OR(AV304&lt;=0,AV308/AV304&lt;0,AV308/AV304&gt;1),0,AV308/AV304),0)</f>
        <v>0</v>
      </c>
      <c r="AW309" s="33" t="n">
        <f aca="false">IFERROR(IF(OR(AW304&lt;=0,AW308/AW304&lt;0,AW308/AW304&gt;1),0,AW308/AW304),0)</f>
        <v>0</v>
      </c>
      <c r="AX309" s="33" t="n">
        <f aca="false">IFERROR(IF(OR(AX304&lt;=0,AX308/AX304&lt;0,AX308/AX304&gt;1),0,AX308/AX304),0)</f>
        <v>0</v>
      </c>
      <c r="AY309" s="33" t="n">
        <f aca="false">IFERROR(IF(OR(AY304&lt;=0,AY308/AY304&lt;0,AY308/AY304&gt;1),0,AY308/AY304),0)</f>
        <v>0</v>
      </c>
      <c r="AZ309" s="33" t="n">
        <f aca="false">IFERROR(IF(OR(AZ304&lt;=0,AZ308/AZ304&lt;0,AZ308/AZ304&gt;1),0,AZ308/AZ304),0)</f>
        <v>0</v>
      </c>
      <c r="BA309" s="33" t="n">
        <f aca="false">IFERROR(IF(OR(BA304&lt;=0,BA308/BA304&lt;0,BA308/BA304&gt;1),0,BA308/BA304),0)</f>
        <v>0</v>
      </c>
      <c r="BB309" s="33" t="n">
        <f aca="false">IFERROR(IF(OR(BB304&lt;=0,BB308/BB304&lt;0,BB308/BB304&gt;1),0,BB308/BB304),0)</f>
        <v>0</v>
      </c>
      <c r="BC309" s="33" t="n">
        <f aca="false">IFERROR(IF(OR(BC304&lt;=0,BC308/BC304&lt;0,BC308/BC304&gt;1),0,BC308/BC304),0)</f>
        <v>0</v>
      </c>
      <c r="BD309" s="33" t="n">
        <f aca="false">IFERROR(IF(OR(BD304&lt;=0,BD308/BD304&lt;0,BD308/BD304&gt;1),0,BD308/BD304),0)</f>
        <v>0</v>
      </c>
      <c r="BE309" s="33" t="n">
        <f aca="false">IFERROR(IF(OR(BE304&lt;=0,BE308/BE304&lt;0,BE308/BE304&gt;1),0,BE308/BE304),0)</f>
        <v>0</v>
      </c>
      <c r="BF309" s="33" t="n">
        <f aca="false">IFERROR(IF(OR(BF304&lt;=0,BF308/BF304&lt;0,BF308/BF304&gt;1),0,BF308/BF304),0)</f>
        <v>0</v>
      </c>
      <c r="BG309" s="33" t="n">
        <f aca="false">IFERROR(IF(OR(BG304&lt;=0,BG308/BG304&lt;0,BG308/BG304&gt;1),0,BG308/BG304),0)</f>
        <v>0</v>
      </c>
      <c r="BH309" s="33" t="n">
        <f aca="false">IFERROR(IF(OR(BH304&lt;=0,BH308/BH304&lt;0,BH308/BH304&gt;1),0,BH308/BH304),0)</f>
        <v>0</v>
      </c>
      <c r="BI309" s="33" t="n">
        <f aca="false">IFERROR(IF(OR(BI304&lt;=0,BI308/BI304&lt;0,BI308/BI304&gt;1),0,BI308/BI304),0)</f>
        <v>0</v>
      </c>
      <c r="BJ309" s="33" t="n">
        <f aca="false">IFERROR(IF(OR(BJ304&lt;=0,BJ308/BJ304&lt;0,BJ308/BJ304&gt;1),0,BJ308/BJ304),0)</f>
        <v>0</v>
      </c>
      <c r="BK309" s="33" t="n">
        <f aca="false">IFERROR(IF(OR(BK304&lt;=0,BK308/BK304&lt;0,BK308/BK304&gt;1),0,BK308/BK304),0)</f>
        <v>0</v>
      </c>
      <c r="BL309" s="33" t="n">
        <f aca="false">IFERROR(IF(OR(BL304&lt;=0,BL308/BL304&lt;0,BL308/BL304&gt;1),0,BL308/BL304),0)</f>
        <v>0</v>
      </c>
      <c r="BM309" s="33" t="n">
        <f aca="false">IFERROR(IF(OR(BM304&lt;=0,BM308/BM304&lt;0,BM308/BM304&gt;1),0,BM308/BM304),0)</f>
        <v>0</v>
      </c>
      <c r="BN309" s="33" t="n">
        <f aca="false">IFERROR(IF(OR(BN304&lt;=0,BN308/BN304&lt;0,BN308/BN304&gt;1),0,BN308/BN304),0)</f>
        <v>0</v>
      </c>
      <c r="BO309" s="33" t="n">
        <f aca="false">IFERROR(IF(OR(BO304&lt;=0,BO308/BO304&lt;0,BO308/BO304&gt;1),0,BO308/BO304),0)</f>
        <v>0</v>
      </c>
      <c r="BP309" s="33" t="n">
        <f aca="false">IFERROR(IF(OR(BP304&lt;=0,BP308/BP304&lt;0,BP308/BP304&gt;1),0,BP308/BP304),0)</f>
        <v>0</v>
      </c>
      <c r="BQ309" s="33" t="n">
        <f aca="false">IFERROR(IF(OR(BQ304&lt;=0,BQ308/BQ304&lt;0,BQ308/BQ304&gt;1),0,BQ308/BQ304),0)</f>
        <v>0</v>
      </c>
      <c r="BR309" s="33" t="n">
        <f aca="false">IFERROR(IF(OR(BR304&lt;=0,BR308/BR304&lt;0,BR308/BR304&gt;1),0,BR308/BR304),0)</f>
        <v>0</v>
      </c>
      <c r="BS309" s="33" t="n">
        <f aca="false">IFERROR(IF(OR(BS304&lt;=0,BS308/BS304&lt;0,BS308/BS304&gt;1),0,BS308/BS304),0)</f>
        <v>0</v>
      </c>
      <c r="BT309" s="33" t="n">
        <f aca="false">IFERROR(IF(OR(BT304&lt;=0,BT308/BT304&lt;0,BT308/BT304&gt;1),0,BT308/BT304),0)</f>
        <v>0</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153</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-607488.05</v>
      </c>
      <c r="L311" s="13" t="n">
        <f aca="false">ROUND(L308-(Budget!M57+Budget!M114),2)</f>
        <v>-276331.81</v>
      </c>
      <c r="M311" s="13" t="n">
        <f aca="false">ROUND(M308-(Budget!N57+Budget!N114),2)</f>
        <v>-244442.55</v>
      </c>
      <c r="N311" s="13" t="n">
        <f aca="false">ROUND(N308-'Budget FY2027'!C105,2)</f>
        <v>-0</v>
      </c>
      <c r="O311" s="13" t="n">
        <f aca="false">ROUND(O308-'Budget FY2027'!D105,2)</f>
        <v>-0</v>
      </c>
      <c r="P311" s="13" t="n">
        <f aca="false">ROUND(P308-'Budget FY2027'!E105,2)</f>
        <v>115.38</v>
      </c>
      <c r="Q311" s="13" t="n">
        <f aca="false">ROUND(Q308-'Budget FY2027'!F105,2)</f>
        <v>240150.28</v>
      </c>
      <c r="R311" s="13" t="n">
        <f aca="false">ROUND(R308-'Budget FY2027'!G105,2)</f>
        <v>78433.18</v>
      </c>
      <c r="S311" s="13" t="n">
        <f aca="false">ROUND(S308-'Budget FY2027'!H105,2)</f>
        <v>-147406.8</v>
      </c>
      <c r="T311" s="13" t="n">
        <f aca="false">ROUND(T308-'Budget FY2027'!I105,2)</f>
        <v>-147406.8</v>
      </c>
      <c r="U311" s="13" t="n">
        <f aca="false">ROUND(U308-'Budget FY2027'!J105,2)</f>
        <v>-147406.8</v>
      </c>
      <c r="V311" s="13" t="n">
        <f aca="false">ROUND(V308-'Budget FY2027'!K105,2)</f>
        <v>18992.09</v>
      </c>
      <c r="W311" s="13" t="n">
        <f aca="false">ROUND(W308-'Budget FY2027'!L105,2)</f>
        <v>-92063.9</v>
      </c>
      <c r="X311" s="13" t="n">
        <f aca="false">ROUND(X308-'Budget FY2027'!M105,2)</f>
        <v>-317016.34</v>
      </c>
      <c r="Y311" s="13" t="n">
        <f aca="false">ROUND(Y308-'Budget FY2027'!N105,2)</f>
        <v>-379582.17</v>
      </c>
      <c r="Z311" s="13" t="n">
        <f aca="false">ROUND(Z308-(Budget!AA57+Budget!AA114),2)</f>
        <v>257249.41</v>
      </c>
      <c r="AA311" s="13" t="n">
        <f aca="false">ROUND(AA308-(Budget!AB57+Budget!AB114),2)</f>
        <v>189390.17</v>
      </c>
      <c r="AB311" s="13" t="n">
        <f aca="false">ROUND(AB308-(Budget!AC57+Budget!AC114),2)</f>
        <v>113670.24</v>
      </c>
      <c r="AC311" s="13" t="n">
        <f aca="false">ROUND(AC308-(Budget!AD57+Budget!AD114),2)</f>
        <v>-18018.52</v>
      </c>
      <c r="AD311" s="13" t="n">
        <f aca="false">ROUND(AD308-(Budget!AE57+Budget!AE114),2)</f>
        <v>9586.87</v>
      </c>
      <c r="AE311" s="13" t="n">
        <f aca="false">ROUND(AE308-(Budget!AF57+Budget!AF114),2)</f>
        <v>79968.63</v>
      </c>
      <c r="AF311" s="13" t="n">
        <f aca="false">ROUND(AF308-(Budget!AG57+Budget!AG114),2)</f>
        <v>180977.75</v>
      </c>
      <c r="AG311" s="13" t="n">
        <f aca="false">ROUND(AG308-(Budget!AH57+Budget!AH114),2)</f>
        <v>111219.36</v>
      </c>
      <c r="AH311" s="13" t="n">
        <f aca="false">ROUND(AH308-(Budget!AI57+Budget!AI114),2)</f>
        <v>-28274.02</v>
      </c>
      <c r="AI311" s="13" t="n">
        <f aca="false">ROUND(AI308-(Budget!AJ57+Budget!AJ114),2)</f>
        <v>-43137.73</v>
      </c>
      <c r="AJ311" s="13" t="n">
        <f aca="false">ROUND(AJ308-(Budget!AK57+Budget!AK114),2)</f>
        <v>-163711.66</v>
      </c>
      <c r="AK311" s="13" t="n">
        <f aca="false">ROUND(AK308-(Budget!AL57+Budget!AL114),2)</f>
        <v>-388301.37</v>
      </c>
      <c r="AL311" s="13" t="n">
        <f aca="false">ROUND(AL308-(Budget!AM57+Budget!AM114),2)</f>
        <v>-185201.65</v>
      </c>
      <c r="AM311" s="13" t="n">
        <f aca="false">ROUND(AM308-(Budget!AN57+Budget!AN114),2)</f>
        <v>-173518.61</v>
      </c>
      <c r="AN311" s="13" t="n">
        <f aca="false">ROUND(AN308-(Budget!AO57+Budget!AO114),2)</f>
        <v>-280186.12</v>
      </c>
      <c r="AO311" s="13" t="n">
        <f aca="false">ROUND(AO308-(Budget!AP57+Budget!AP114),2)</f>
        <v>-319446.86</v>
      </c>
      <c r="AP311" s="13" t="n">
        <f aca="false">ROUND(AP308-(Budget!AQ57+Budget!AQ114),2)</f>
        <v>-186578.26</v>
      </c>
      <c r="AQ311" s="13" t="n">
        <f aca="false">ROUND(AQ308-(Budget!AR57+Budget!AR114),2)</f>
        <v>-424634.5</v>
      </c>
      <c r="AR311" s="13" t="n">
        <f aca="false">ROUND(AR308-(Budget!AS57+Budget!AS114),2)</f>
        <v>-424634.5</v>
      </c>
      <c r="AS311" s="13" t="n">
        <f aca="false">ROUND(AS308-(Budget!AT57+Budget!AT114),2)</f>
        <v>-424634.5</v>
      </c>
      <c r="AT311" s="13" t="n">
        <f aca="false">ROUND(AT308-(Budget!AU57+Budget!AU114),2)</f>
        <v>-424634.5</v>
      </c>
      <c r="AU311" s="13" t="n">
        <f aca="false">ROUND(AU308-(Budget!AV57+Budget!AV114),2)</f>
        <v>-424634.5</v>
      </c>
      <c r="AV311" s="13" t="n">
        <f aca="false">ROUND(AV308-(Budget!AW57+Budget!AW114),2)</f>
        <v>-152148.91</v>
      </c>
      <c r="AW311" s="13" t="n">
        <f aca="false">ROUND(AW308-(Budget!AX57+Budget!AX114),2)</f>
        <v>-797208.7</v>
      </c>
      <c r="AX311" s="13" t="n">
        <f aca="false">ROUND(AX308-(Budget!AY57+Budget!AY114),2)</f>
        <v>-608399.12</v>
      </c>
      <c r="AY311" s="13" t="n">
        <f aca="false">ROUND(AY308-(Budget!AZ57+Budget!AZ114),2)</f>
        <v>-608399.12</v>
      </c>
      <c r="AZ311" s="13" t="n">
        <f aca="false">ROUND(AZ308-(Budget!BA57+Budget!BA114),2)</f>
        <v>-608399.12</v>
      </c>
      <c r="BA311" s="13" t="n">
        <f aca="false">ROUND(BA308-(Budget!BB57+Budget!BB114),2)</f>
        <v>-608399.12</v>
      </c>
      <c r="BB311" s="13" t="n">
        <f aca="false">ROUND(BB308-(Budget!BC57+Budget!BC114),2)</f>
        <v>-608399.12</v>
      </c>
      <c r="BC311" s="13" t="n">
        <f aca="false">ROUND(BC308-(Budget!BD57+Budget!BD114),2)</f>
        <v>-608399.12</v>
      </c>
      <c r="BD311" s="13" t="n">
        <f aca="false">ROUND(BD308-(Budget!BE57+Budget!BE114),2)</f>
        <v>-608399.12</v>
      </c>
      <c r="BE311" s="13" t="n">
        <f aca="false">ROUND(BE308-(Budget!BF57+Budget!BF114),2)</f>
        <v>-608399.12</v>
      </c>
      <c r="BF311" s="13" t="n">
        <f aca="false">ROUND(BF308-(Budget!BG57+Budget!BG114),2)</f>
        <v>-608399.12</v>
      </c>
      <c r="BG311" s="13" t="n">
        <f aca="false">ROUND(BG308-(Budget!BH57+Budget!BH114),2)</f>
        <v>-608399.12</v>
      </c>
      <c r="BH311" s="13" t="n">
        <f aca="false">ROUND(BH308-(Budget!BI57+Budget!BI114),2)</f>
        <v>-608399.12</v>
      </c>
      <c r="BI311" s="13" t="n">
        <f aca="false">ROUND(BI308-(Budget!BJ57+Budget!BJ114),2)</f>
        <v>-808399.12</v>
      </c>
      <c r="BJ311" s="13" t="n">
        <f aca="false">ROUND(BJ308-(Budget!BK57+Budget!BK114),2)</f>
        <v>-619813.34</v>
      </c>
      <c r="BK311" s="13" t="n">
        <f aca="false">ROUND(BK308-(Budget!BL57+Budget!BL114),2)</f>
        <v>-619813.34</v>
      </c>
      <c r="BL311" s="13" t="n">
        <f aca="false">ROUND(BL308-(Budget!BM57+Budget!BM114),2)</f>
        <v>-619813.34</v>
      </c>
      <c r="BM311" s="13" t="n">
        <f aca="false">ROUND(BM308-(Budget!BN57+Budget!BN114),2)</f>
        <v>-619813.34</v>
      </c>
      <c r="BN311" s="13" t="n">
        <f aca="false">ROUND(BN308-(Budget!BO57+Budget!BO114),2)</f>
        <v>-619813.34</v>
      </c>
      <c r="BO311" s="13" t="n">
        <f aca="false">ROUND(BO308-(Budget!BP57+Budget!BP114),2)</f>
        <v>-619813.34</v>
      </c>
      <c r="BP311" s="13" t="n">
        <f aca="false">ROUND(BP308-(Budget!BQ57+Budget!BQ114),2)</f>
        <v>-619813.34</v>
      </c>
      <c r="BQ311" s="13" t="n">
        <f aca="false">ROUND(BQ308-(Budget!BR57+Budget!BR114),2)</f>
        <v>-619813.34</v>
      </c>
      <c r="BR311" s="13" t="n">
        <f aca="false">ROUND(BR308-(Budget!BS57+Budget!BS114),2)</f>
        <v>-566562.99</v>
      </c>
      <c r="BS311" s="13" t="n">
        <f aca="false">ROUND(BS308-(Budget!BT57+Budget!BT114),2)</f>
        <v>-619813.34</v>
      </c>
      <c r="BT311" s="13" t="n">
        <f aca="false">ROUND(BT308-(Budget!BU57+Budget!BU114),2)</f>
        <v>-619813.34</v>
      </c>
      <c r="BU311" s="13" t="n">
        <f aca="false">ROUND(BU308-(Budget!BV57+Budget!BV114),2)</f>
        <v>-752051.34</v>
      </c>
      <c r="BV311" s="13" t="n">
        <f aca="false">ROUND(BV308-(Budget!BW57+Budget!BW114),2)</f>
        <v>-631455.85</v>
      </c>
      <c r="BW311" s="13" t="n">
        <f aca="false">ROUND(BW308-(Budget!BX57+Budget!BX114),2)</f>
        <v>-631455.85</v>
      </c>
      <c r="BX311" s="13" t="n">
        <f aca="false">ROUND(BX308-(Budget!BY57+Budget!BY114),2)</f>
        <v>-563693.85</v>
      </c>
      <c r="BY311" s="13" t="n">
        <f aca="false">ROUND(BY308-(Budget!BZ57+Budget!BZ114),2)</f>
        <v>-631455.85</v>
      </c>
      <c r="BZ311" s="13" t="n">
        <f aca="false">ROUND(BZ308-(Budget!CA57+Budget!CA114),2)</f>
        <v>-631455.85</v>
      </c>
      <c r="CA311" s="13" t="n">
        <f aca="false">ROUND(CA308-(Budget!CB57+Budget!CB114),2)</f>
        <v>-563693.85</v>
      </c>
      <c r="CB311" s="13" t="n">
        <f aca="false">ROUND(CB308-(Budget!CC57+Budget!CC114),2)</f>
        <v>-631455.85</v>
      </c>
      <c r="CC311" s="13" t="n">
        <f aca="false">ROUND(CC308-(Budget!CD57+Budget!CD114),2)</f>
        <v>-631455.85</v>
      </c>
      <c r="CD311" s="13" t="n">
        <f aca="false">ROUND(CD308-(Budget!CE57+Budget!CE114),2)</f>
        <v>-554956.85</v>
      </c>
      <c r="CE311" s="13" t="n">
        <f aca="false">ROUND(CE308-(Budget!CF57+Budget!CF114),2)</f>
        <v>-631455.85</v>
      </c>
      <c r="CF311" s="13" t="n">
        <f aca="false">ROUND(CF308-(Budget!CG57+Budget!CG114),2)</f>
        <v>-631455.85</v>
      </c>
      <c r="CG311" s="13" t="n">
        <f aca="false">ROUND(CG308-(Budget!CH57+Budget!CH114),2)</f>
        <v>-754956.85</v>
      </c>
      <c r="CH311" s="13" t="n">
        <f aca="false">ROUND(CH308-(Budget!CI57+Budget!CI114),2)</f>
        <v>-643331.2</v>
      </c>
      <c r="CI311" s="13" t="n">
        <f aca="false">ROUND(CI308-(Budget!CJ57+Budget!CJ114),2)</f>
        <v>-643331.2</v>
      </c>
      <c r="CJ311" s="13" t="n">
        <f aca="false">ROUND(CJ308-(Budget!CK57+Budget!CK114),2)</f>
        <v>-560224.18</v>
      </c>
      <c r="CK311" s="13" t="n">
        <f aca="false">ROUND(CK308-(Budget!CL57+Budget!CL114),2)</f>
        <v>-485470.2</v>
      </c>
      <c r="CL311" s="13" t="n">
        <f aca="false">ROUND(CL308-(Budget!CM57+Budget!CM114),2)</f>
        <v>-485470.2</v>
      </c>
      <c r="CM311" s="13" t="n">
        <f aca="false">ROUND(CM308-(Budget!CN57+Budget!CN114),2)</f>
        <v>-485470.2</v>
      </c>
      <c r="CN311" s="13" t="n">
        <f aca="false">ROUND(CN308-(Budget!CO57+Budget!CO114),2)</f>
        <v>-485470.2</v>
      </c>
      <c r="CO311" s="13" t="n">
        <f aca="false">ROUND(CO308-(Budget!CP57+Budget!CP114),2)</f>
        <v>-485470.2</v>
      </c>
      <c r="CP311" s="13" t="n">
        <f aca="false">ROUND(CP308-(Budget!CQ57+Budget!CQ114),2)</f>
        <v>-485470.2</v>
      </c>
      <c r="CQ311" s="13" t="n">
        <f aca="false">ROUND(CQ308-(Budget!CR57+Budget!CR114),2)</f>
        <v>-485470.2</v>
      </c>
      <c r="CR311" s="13" t="n">
        <f aca="false">ROUND(CR308-(Budget!CS57+Budget!CS114),2)</f>
        <v>-485470.2</v>
      </c>
      <c r="CS311" s="13" t="n">
        <f aca="false">ROUND(CS308-(Budget!CT57+Budget!CT114),2)</f>
        <v>-685470.2</v>
      </c>
      <c r="CT311" s="13" t="n">
        <f aca="false">ROUND(CT308-(Budget!CU57+Budget!CU114),2)</f>
        <v>-451061.81</v>
      </c>
      <c r="CU311" s="13" t="n">
        <f aca="false">ROUND(CU308-(Budget!CV57+Budget!CV114),2)</f>
        <v>-451061.81</v>
      </c>
      <c r="CV311" s="13" t="n">
        <f aca="false">ROUND(CV308-(Budget!CW57+Budget!CW114),2)</f>
        <v>-451061.81</v>
      </c>
      <c r="CW311" s="13" t="n">
        <f aca="false">ROUND(CW308-(Budget!CX57+Budget!CX114),2)</f>
        <v>-451061.81</v>
      </c>
      <c r="CX311" s="13" t="n">
        <f aca="false">ROUND(CX308-(Budget!CY57+Budget!CY114),2)</f>
        <v>-451061.81</v>
      </c>
      <c r="CY311" s="13" t="n">
        <f aca="false">ROUND(CY308-(Budget!CZ57+Budget!CZ114),2)</f>
        <v>-451061.81</v>
      </c>
      <c r="CZ311" s="13" t="n">
        <f aca="false">ROUND(CZ308-(Budget!DA57+Budget!DA114),2)</f>
        <v>-451061.81</v>
      </c>
      <c r="DA311" s="13" t="n">
        <f aca="false">ROUND(DA308-(Budget!DB57+Budget!DB114),2)</f>
        <v>-451061.81</v>
      </c>
      <c r="DB311" s="13" t="n">
        <f aca="false">ROUND(DB308-(Budget!DC57+Budget!DC114),2)</f>
        <v>-451061.81</v>
      </c>
      <c r="DC311" s="13" t="n">
        <f aca="false">ROUND(DC308-(Budget!DD57+Budget!DD114),2)</f>
        <v>-451061.81</v>
      </c>
      <c r="DD311" s="13" t="n">
        <f aca="false">ROUND(DD308-(Budget!DE57+Budget!DE114),2)</f>
        <v>-451061.81</v>
      </c>
      <c r="DE311" s="13" t="n">
        <f aca="false">ROUND(DE308-(Budget!DF57+Budget!DF114),2)</f>
        <v>-651061.81</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154</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155</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156</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157</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158</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159</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155</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750000</v>
      </c>
      <c r="AO321" s="13" t="n">
        <f aca="false">AN323</f>
        <v>750000</v>
      </c>
      <c r="AP321" s="13" t="n">
        <f aca="false">AO323</f>
        <v>750000</v>
      </c>
      <c r="AQ321" s="13" t="n">
        <f aca="false">AP323</f>
        <v>750000</v>
      </c>
      <c r="AR321" s="13" t="n">
        <f aca="false">AQ323</f>
        <v>750000</v>
      </c>
      <c r="AS321" s="13" t="n">
        <f aca="false">AR323</f>
        <v>750000</v>
      </c>
      <c r="AT321" s="13" t="n">
        <f aca="false">AS323</f>
        <v>750000</v>
      </c>
      <c r="AU321" s="13" t="n">
        <f aca="false">AT323</f>
        <v>750000</v>
      </c>
      <c r="AV321" s="13" t="n">
        <f aca="false">AU323</f>
        <v>750000</v>
      </c>
      <c r="AW321" s="13" t="n">
        <f aca="false">AV323</f>
        <v>750000</v>
      </c>
      <c r="AX321" s="13" t="n">
        <f aca="false">AW323</f>
        <v>750000</v>
      </c>
      <c r="AY321" s="13" t="n">
        <f aca="false">AX323</f>
        <v>750000</v>
      </c>
      <c r="AZ321" s="13" t="n">
        <f aca="false">AY323</f>
        <v>750000</v>
      </c>
      <c r="BA321" s="13" t="n">
        <f aca="false">AZ323</f>
        <v>750000</v>
      </c>
      <c r="BB321" s="13" t="n">
        <f aca="false">BA323</f>
        <v>750000</v>
      </c>
      <c r="BC321" s="13" t="n">
        <f aca="false">BB323</f>
        <v>750000</v>
      </c>
      <c r="BD321" s="13" t="n">
        <f aca="false">BC323</f>
        <v>750000</v>
      </c>
      <c r="BE321" s="13" t="n">
        <f aca="false">BD323</f>
        <v>750000</v>
      </c>
      <c r="BF321" s="13" t="n">
        <f aca="false">BE323</f>
        <v>750000</v>
      </c>
      <c r="BG321" s="13" t="n">
        <f aca="false">BF323</f>
        <v>750000</v>
      </c>
      <c r="BH321" s="13" t="n">
        <f aca="false">BG323</f>
        <v>750000</v>
      </c>
      <c r="BI321" s="13" t="n">
        <f aca="false">BH323</f>
        <v>750000</v>
      </c>
      <c r="BJ321" s="13" t="n">
        <f aca="false">BI323</f>
        <v>750000</v>
      </c>
      <c r="BK321" s="13" t="n">
        <f aca="false">BJ323</f>
        <v>750000</v>
      </c>
      <c r="BL321" s="13" t="n">
        <f aca="false">BK323</f>
        <v>750000</v>
      </c>
      <c r="BM321" s="13" t="n">
        <f aca="false">BL323</f>
        <v>750000</v>
      </c>
      <c r="BN321" s="13" t="n">
        <f aca="false">BM323</f>
        <v>750000</v>
      </c>
      <c r="BO321" s="13" t="n">
        <f aca="false">BN323</f>
        <v>750000</v>
      </c>
      <c r="BP321" s="13" t="n">
        <f aca="false">BO323</f>
        <v>750000</v>
      </c>
      <c r="BQ321" s="13" t="n">
        <f aca="false">BP323</f>
        <v>750000</v>
      </c>
      <c r="BR321" s="13" t="n">
        <f aca="false">BQ323</f>
        <v>750000</v>
      </c>
      <c r="BS321" s="13" t="n">
        <f aca="false">BR323</f>
        <v>750000</v>
      </c>
      <c r="BT321" s="13" t="n">
        <f aca="false">BS323</f>
        <v>750000</v>
      </c>
      <c r="BU321" s="13" t="n">
        <f aca="false">BT323</f>
        <v>750000</v>
      </c>
      <c r="BV321" s="13" t="n">
        <f aca="false">BU323</f>
        <v>750000</v>
      </c>
      <c r="BW321" s="13" t="n">
        <f aca="false">BV323</f>
        <v>750000</v>
      </c>
      <c r="BX321" s="13" t="n">
        <f aca="false">BW323</f>
        <v>750000</v>
      </c>
      <c r="BY321" s="13" t="n">
        <f aca="false">BX323</f>
        <v>750000</v>
      </c>
      <c r="BZ321" s="13" t="n">
        <f aca="false">BY323</f>
        <v>750000</v>
      </c>
      <c r="CA321" s="13" t="n">
        <f aca="false">BZ323</f>
        <v>750000</v>
      </c>
      <c r="CB321" s="13" t="n">
        <f aca="false">CA323</f>
        <v>750000</v>
      </c>
      <c r="CC321" s="13" t="n">
        <f aca="false">CB323</f>
        <v>750000</v>
      </c>
      <c r="CD321" s="13" t="n">
        <f aca="false">CC323</f>
        <v>750000</v>
      </c>
      <c r="CE321" s="13" t="n">
        <f aca="false">CD323</f>
        <v>750000</v>
      </c>
      <c r="CF321" s="13" t="n">
        <f aca="false">CE323</f>
        <v>750000</v>
      </c>
      <c r="CG321" s="13" t="n">
        <f aca="false">CF323</f>
        <v>750000</v>
      </c>
      <c r="CH321" s="13" t="n">
        <f aca="false">CG323</f>
        <v>750000</v>
      </c>
      <c r="CI321" s="13" t="n">
        <f aca="false">CH323</f>
        <v>750000</v>
      </c>
      <c r="CJ321" s="13" t="n">
        <f aca="false">CI323</f>
        <v>750000</v>
      </c>
      <c r="CK321" s="13" t="n">
        <f aca="false">CJ323</f>
        <v>750000</v>
      </c>
      <c r="CL321" s="13" t="n">
        <f aca="false">CK323</f>
        <v>750000</v>
      </c>
      <c r="CM321" s="13" t="n">
        <f aca="false">CL323</f>
        <v>750000</v>
      </c>
      <c r="CN321" s="13" t="n">
        <f aca="false">CM323</f>
        <v>750000</v>
      </c>
      <c r="CO321" s="13" t="n">
        <f aca="false">CN323</f>
        <v>750000</v>
      </c>
      <c r="CP321" s="13" t="n">
        <f aca="false">CO323</f>
        <v>750000</v>
      </c>
      <c r="CQ321" s="13" t="n">
        <f aca="false">CP323</f>
        <v>750000</v>
      </c>
      <c r="CR321" s="13" t="n">
        <f aca="false">CQ323</f>
        <v>750000</v>
      </c>
      <c r="CS321" s="13" t="n">
        <f aca="false">CR323</f>
        <v>750000</v>
      </c>
      <c r="CT321" s="13" t="n">
        <f aca="false">CS323</f>
        <v>750000</v>
      </c>
      <c r="CU321" s="13" t="n">
        <f aca="false">CT323</f>
        <v>750000</v>
      </c>
      <c r="CV321" s="13" t="n">
        <f aca="false">CU323</f>
        <v>750000</v>
      </c>
      <c r="CW321" s="13" t="n">
        <f aca="false">CV323</f>
        <v>750000</v>
      </c>
      <c r="CX321" s="13" t="n">
        <f aca="false">CW323</f>
        <v>750000</v>
      </c>
      <c r="CY321" s="13" t="n">
        <f aca="false">CX323</f>
        <v>750000</v>
      </c>
      <c r="CZ321" s="13" t="n">
        <f aca="false">CY323</f>
        <v>750000</v>
      </c>
      <c r="DA321" s="13" t="n">
        <f aca="false">CZ323</f>
        <v>750000</v>
      </c>
      <c r="DB321" s="13" t="n">
        <f aca="false">DA323</f>
        <v>750000</v>
      </c>
      <c r="DC321" s="13" t="n">
        <f aca="false">DB323</f>
        <v>750000</v>
      </c>
      <c r="DD321" s="13" t="n">
        <f aca="false">DC323</f>
        <v>750000</v>
      </c>
      <c r="DE321" s="13" t="n">
        <f aca="false">DD323</f>
        <v>750000</v>
      </c>
    </row>
    <row r="322" customFormat="false" ht="15" hidden="false" customHeight="true" outlineLevel="0" collapsed="false">
      <c r="A322" s="22" t="s">
        <v>160</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158</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750000</v>
      </c>
      <c r="AN323" s="46" t="n">
        <f aca="false">MAX(0,AN321+AN322)</f>
        <v>750000</v>
      </c>
      <c r="AO323" s="46" t="n">
        <f aca="false">MAX(0,AO321+AO322)</f>
        <v>750000</v>
      </c>
      <c r="AP323" s="46" t="n">
        <f aca="false">MAX(0,AP321+AP322)</f>
        <v>750000</v>
      </c>
      <c r="AQ323" s="46" t="n">
        <f aca="false">MAX(0,AQ321+AQ322)</f>
        <v>750000</v>
      </c>
      <c r="AR323" s="46" t="n">
        <f aca="false">MAX(0,AR321+AR322)</f>
        <v>750000</v>
      </c>
      <c r="AS323" s="46" t="n">
        <f aca="false">MAX(0,AS321+AS322)</f>
        <v>750000</v>
      </c>
      <c r="AT323" s="46" t="n">
        <f aca="false">MAX(0,AT321+AT322)</f>
        <v>750000</v>
      </c>
      <c r="AU323" s="46" t="n">
        <f aca="false">MAX(0,AU321+AU322)</f>
        <v>750000</v>
      </c>
      <c r="AV323" s="46" t="n">
        <f aca="false">MAX(0,AV321+AV322)</f>
        <v>750000</v>
      </c>
      <c r="AW323" s="46" t="n">
        <f aca="false">MAX(0,AW321+AW322)</f>
        <v>750000</v>
      </c>
      <c r="AX323" s="46" t="n">
        <f aca="false">MAX(0,AX321+AX322)</f>
        <v>750000</v>
      </c>
      <c r="AY323" s="46" t="n">
        <f aca="false">MAX(0,AY321+AY322)</f>
        <v>750000</v>
      </c>
      <c r="AZ323" s="46" t="n">
        <f aca="false">MAX(0,AZ321+AZ322)</f>
        <v>750000</v>
      </c>
      <c r="BA323" s="46" t="n">
        <f aca="false">MAX(0,BA321+BA322)</f>
        <v>750000</v>
      </c>
      <c r="BB323" s="46" t="n">
        <f aca="false">MAX(0,BB321+BB322)</f>
        <v>750000</v>
      </c>
      <c r="BC323" s="46" t="n">
        <f aca="false">MAX(0,BC321+BC322)</f>
        <v>750000</v>
      </c>
      <c r="BD323" s="46" t="n">
        <f aca="false">MAX(0,BD321+BD322)</f>
        <v>750000</v>
      </c>
      <c r="BE323" s="46" t="n">
        <f aca="false">MAX(0,BE321+BE322)</f>
        <v>750000</v>
      </c>
      <c r="BF323" s="46" t="n">
        <f aca="false">MAX(0,BF321+BF322)</f>
        <v>750000</v>
      </c>
      <c r="BG323" s="46" t="n">
        <f aca="false">MAX(0,BG321+BG322)</f>
        <v>750000</v>
      </c>
      <c r="BH323" s="46" t="n">
        <f aca="false">MAX(0,BH321+BH322)</f>
        <v>750000</v>
      </c>
      <c r="BI323" s="46" t="n">
        <f aca="false">MAX(0,BI321+BI322)</f>
        <v>750000</v>
      </c>
      <c r="BJ323" s="46" t="n">
        <f aca="false">MAX(0,BJ321+BJ322)</f>
        <v>750000</v>
      </c>
      <c r="BK323" s="46" t="n">
        <f aca="false">MAX(0,BK321+BK322)</f>
        <v>750000</v>
      </c>
      <c r="BL323" s="46" t="n">
        <f aca="false">MAX(0,BL321+BL322)</f>
        <v>750000</v>
      </c>
      <c r="BM323" s="46" t="n">
        <f aca="false">MAX(0,BM321+BM322)</f>
        <v>750000</v>
      </c>
      <c r="BN323" s="46" t="n">
        <f aca="false">MAX(0,BN321+BN322)</f>
        <v>750000</v>
      </c>
      <c r="BO323" s="46" t="n">
        <f aca="false">MAX(0,BO321+BO322)</f>
        <v>750000</v>
      </c>
      <c r="BP323" s="46" t="n">
        <f aca="false">MAX(0,BP321+BP322)</f>
        <v>750000</v>
      </c>
      <c r="BQ323" s="46" t="n">
        <f aca="false">MAX(0,BQ321+BQ322)</f>
        <v>750000</v>
      </c>
      <c r="BR323" s="46" t="n">
        <f aca="false">MAX(0,BR321+BR322)</f>
        <v>750000</v>
      </c>
      <c r="BS323" s="46" t="n">
        <f aca="false">MAX(0,BS321+BS322)</f>
        <v>750000</v>
      </c>
      <c r="BT323" s="46" t="n">
        <f aca="false">MAX(0,BT321+BT322)</f>
        <v>750000</v>
      </c>
      <c r="BU323" s="46" t="n">
        <f aca="false">MAX(0,BU321+BU322)</f>
        <v>750000</v>
      </c>
      <c r="BV323" s="46" t="n">
        <f aca="false">MAX(0,BV321+BV322)</f>
        <v>750000</v>
      </c>
      <c r="BW323" s="46" t="n">
        <f aca="false">MAX(0,BW321+BW322)</f>
        <v>750000</v>
      </c>
      <c r="BX323" s="46" t="n">
        <f aca="false">MAX(0,BX321+BX322)</f>
        <v>750000</v>
      </c>
      <c r="BY323" s="46" t="n">
        <f aca="false">MAX(0,BY321+BY322)</f>
        <v>750000</v>
      </c>
      <c r="BZ323" s="46" t="n">
        <f aca="false">MAX(0,BZ321+BZ322)</f>
        <v>750000</v>
      </c>
      <c r="CA323" s="46" t="n">
        <f aca="false">MAX(0,CA321+CA322)</f>
        <v>750000</v>
      </c>
      <c r="CB323" s="46" t="n">
        <f aca="false">MAX(0,CB321+CB322)</f>
        <v>750000</v>
      </c>
      <c r="CC323" s="46" t="n">
        <f aca="false">MAX(0,CC321+CC322)</f>
        <v>750000</v>
      </c>
      <c r="CD323" s="46" t="n">
        <f aca="false">MAX(0,CD321+CD322)</f>
        <v>750000</v>
      </c>
      <c r="CE323" s="46" t="n">
        <f aca="false">MAX(0,CE321+CE322)</f>
        <v>750000</v>
      </c>
      <c r="CF323" s="46" t="n">
        <f aca="false">MAX(0,CF321+CF322)</f>
        <v>750000</v>
      </c>
      <c r="CG323" s="46" t="n">
        <f aca="false">MAX(0,CG321+CG322)</f>
        <v>750000</v>
      </c>
      <c r="CH323" s="46" t="n">
        <f aca="false">MAX(0,CH321+CH322)</f>
        <v>750000</v>
      </c>
      <c r="CI323" s="46" t="n">
        <f aca="false">MAX(0,CI321+CI322)</f>
        <v>750000</v>
      </c>
      <c r="CJ323" s="46" t="n">
        <f aca="false">MAX(0,CJ321+CJ322)</f>
        <v>750000</v>
      </c>
      <c r="CK323" s="46" t="n">
        <f aca="false">MAX(0,CK321+CK322)</f>
        <v>750000</v>
      </c>
      <c r="CL323" s="46" t="n">
        <f aca="false">MAX(0,CL321+CL322)</f>
        <v>750000</v>
      </c>
      <c r="CM323" s="46" t="n">
        <f aca="false">MAX(0,CM321+CM322)</f>
        <v>750000</v>
      </c>
      <c r="CN323" s="46" t="n">
        <f aca="false">MAX(0,CN321+CN322)</f>
        <v>750000</v>
      </c>
      <c r="CO323" s="46" t="n">
        <f aca="false">MAX(0,CO321+CO322)</f>
        <v>750000</v>
      </c>
      <c r="CP323" s="46" t="n">
        <f aca="false">MAX(0,CP321+CP322)</f>
        <v>750000</v>
      </c>
      <c r="CQ323" s="46" t="n">
        <f aca="false">MAX(0,CQ321+CQ322)</f>
        <v>750000</v>
      </c>
      <c r="CR323" s="46" t="n">
        <f aca="false">MAX(0,CR321+CR322)</f>
        <v>750000</v>
      </c>
      <c r="CS323" s="46" t="n">
        <f aca="false">MAX(0,CS321+CS322)</f>
        <v>750000</v>
      </c>
      <c r="CT323" s="46" t="n">
        <f aca="false">MAX(0,CT321+CT322)</f>
        <v>750000</v>
      </c>
      <c r="CU323" s="46" t="n">
        <f aca="false">MAX(0,CU321+CU322)</f>
        <v>750000</v>
      </c>
      <c r="CV323" s="46" t="n">
        <f aca="false">MAX(0,CV321+CV322)</f>
        <v>750000</v>
      </c>
      <c r="CW323" s="46" t="n">
        <f aca="false">MAX(0,CW321+CW322)</f>
        <v>750000</v>
      </c>
      <c r="CX323" s="46" t="n">
        <f aca="false">MAX(0,CX321+CX322)</f>
        <v>750000</v>
      </c>
      <c r="CY323" s="46" t="n">
        <f aca="false">MAX(0,CY321+CY322)</f>
        <v>750000</v>
      </c>
      <c r="CZ323" s="46" t="n">
        <f aca="false">MAX(0,CZ321+CZ322)</f>
        <v>750000</v>
      </c>
      <c r="DA323" s="46" t="n">
        <f aca="false">MAX(0,DA321+DA322)</f>
        <v>750000</v>
      </c>
      <c r="DB323" s="46" t="n">
        <f aca="false">MAX(0,DB321+DB322)</f>
        <v>750000</v>
      </c>
      <c r="DC323" s="46" t="n">
        <f aca="false">MAX(0,DC321+DC322)</f>
        <v>750000</v>
      </c>
      <c r="DD323" s="46" t="n">
        <f aca="false">MAX(0,DD321+DD322)</f>
        <v>750000</v>
      </c>
      <c r="DE323" s="46" t="n">
        <f aca="false">MAX(0,DE321+DE322)</f>
        <v>750000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161</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162</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163</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164</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165</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166</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167</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168</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169</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170</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171</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172</v>
      </c>
      <c r="B336" s="56"/>
      <c r="C336" s="56"/>
      <c r="D336" s="56"/>
      <c r="E336" s="56" t="n">
        <f aca="false">IF(Projects!$G$14="Yes",Assumptions!$B$75,0)</f>
        <v>0</v>
      </c>
      <c r="F336" s="56" t="n">
        <f aca="false">E340</f>
        <v>0</v>
      </c>
      <c r="G336" s="56" t="n">
        <f aca="false">IF(Projects!$G$14="Yes",F340+Assumptions!$B$76*0.2,F340)</f>
        <v>0</v>
      </c>
      <c r="H336" s="56" t="n">
        <f aca="false">G340</f>
        <v>0</v>
      </c>
      <c r="I336" s="56" t="n">
        <f aca="false">H340</f>
        <v>0</v>
      </c>
      <c r="J336" s="56" t="n">
        <f aca="false">IF(Projects!$G$14="Yes",I340+Assumptions!$B$76*0.2,I340)</f>
        <v>0</v>
      </c>
      <c r="K336" s="56" t="n">
        <f aca="false">J340</f>
        <v>0</v>
      </c>
      <c r="L336" s="56" t="n">
        <f aca="false">K340</f>
        <v>0</v>
      </c>
      <c r="M336" s="56" t="n">
        <f aca="false">L340</f>
        <v>0</v>
      </c>
      <c r="N336" s="56" t="n">
        <f aca="false">IF(Projects!$G$14="Yes",M340+Assumptions!$B$76*0.1,M340)</f>
        <v>0</v>
      </c>
      <c r="O336" s="56" t="n">
        <f aca="false">N340</f>
        <v>0</v>
      </c>
      <c r="P336" s="56" t="n">
        <f aca="false">O340</f>
        <v>0</v>
      </c>
      <c r="Q336" s="56" t="n">
        <f aca="false">P340</f>
        <v>0</v>
      </c>
      <c r="R336" s="56" t="n">
        <f aca="false">Q340</f>
        <v>0</v>
      </c>
      <c r="S336" s="56" t="n">
        <f aca="false">IF(Projects!$G$14="Yes",R340+Assumptions!$B$76*0.1,R340)</f>
        <v>0</v>
      </c>
      <c r="T336" s="56" t="n">
        <f aca="false">S340</f>
        <v>0</v>
      </c>
      <c r="U336" s="56" t="n">
        <f aca="false">T340</f>
        <v>0</v>
      </c>
      <c r="V336" s="56" t="n">
        <f aca="false">U340</f>
        <v>0</v>
      </c>
      <c r="W336" s="56" t="n">
        <f aca="false">V340</f>
        <v>0</v>
      </c>
      <c r="X336" s="56" t="n">
        <f aca="false">W340</f>
        <v>0</v>
      </c>
      <c r="Y336" s="56" t="n">
        <f aca="false">IF(Projects!$G$14="Yes",X340+Assumptions!$B$76*0.1,X340)</f>
        <v>0</v>
      </c>
      <c r="Z336" s="56" t="n">
        <f aca="false">Y340</f>
        <v>0</v>
      </c>
      <c r="AA336" s="56" t="n">
        <f aca="false">Z340</f>
        <v>0</v>
      </c>
      <c r="AB336" s="56" t="n">
        <f aca="false">AA340</f>
        <v>0</v>
      </c>
      <c r="AC336" s="56" t="n">
        <f aca="false">AB340</f>
        <v>0</v>
      </c>
      <c r="AD336" s="56" t="n">
        <f aca="false">AC340</f>
        <v>0</v>
      </c>
      <c r="AE336" s="56" t="n">
        <f aca="false">IF(Projects!$G$14="Yes",AD340+Assumptions!$B$76,AD340)</f>
        <v>0</v>
      </c>
      <c r="AF336" s="56" t="n">
        <f aca="false">AE340</f>
        <v>0</v>
      </c>
      <c r="AG336" s="56" t="n">
        <f aca="false">AF340</f>
        <v>0</v>
      </c>
      <c r="AH336" s="56" t="n">
        <f aca="false">AG340</f>
        <v>0</v>
      </c>
      <c r="AI336" s="56" t="n">
        <f aca="false">AH340</f>
        <v>0</v>
      </c>
      <c r="AJ336" s="56" t="n">
        <f aca="false">AI340</f>
        <v>0</v>
      </c>
      <c r="AK336" s="56" t="n">
        <f aca="false">AJ340</f>
        <v>0</v>
      </c>
      <c r="AL336" s="56" t="n">
        <f aca="false">AK340</f>
        <v>0</v>
      </c>
      <c r="AM336" s="56" t="n">
        <f aca="false">AL340</f>
        <v>0</v>
      </c>
      <c r="AN336" s="56" t="n">
        <f aca="false">AM340</f>
        <v>0</v>
      </c>
      <c r="AO336" s="56" t="n">
        <f aca="false">AN340</f>
        <v>0</v>
      </c>
      <c r="AP336" s="56" t="n">
        <f aca="false">AO340</f>
        <v>0</v>
      </c>
      <c r="AQ336" s="56" t="n">
        <f aca="false">AP340</f>
        <v>0</v>
      </c>
      <c r="AR336" s="56" t="n">
        <f aca="false">AQ340</f>
        <v>0</v>
      </c>
      <c r="AS336" s="56" t="n">
        <f aca="false">AR340</f>
        <v>0</v>
      </c>
      <c r="AT336" s="56" t="n">
        <f aca="false">AS340</f>
        <v>0</v>
      </c>
      <c r="AU336" s="56" t="n">
        <f aca="false">AT340</f>
        <v>0</v>
      </c>
      <c r="AV336" s="56" t="n">
        <f aca="false">AU340</f>
        <v>0</v>
      </c>
      <c r="AW336" s="56" t="n">
        <f aca="false">AV340</f>
        <v>0</v>
      </c>
      <c r="AX336" s="56" t="n">
        <f aca="false">AW340</f>
        <v>0</v>
      </c>
      <c r="AY336" s="56" t="n">
        <f aca="false">AX340</f>
        <v>0</v>
      </c>
      <c r="AZ336" s="56" t="n">
        <f aca="false">AY340</f>
        <v>0</v>
      </c>
      <c r="BA336" s="56" t="n">
        <f aca="false">AZ340</f>
        <v>0</v>
      </c>
      <c r="BB336" s="56" t="n">
        <f aca="false">BA340</f>
        <v>0</v>
      </c>
      <c r="BC336" s="56" t="n">
        <f aca="false">BB340</f>
        <v>0</v>
      </c>
      <c r="BD336" s="56" t="n">
        <f aca="false">BC340</f>
        <v>0</v>
      </c>
      <c r="BE336" s="56" t="n">
        <f aca="false">BD340</f>
        <v>0</v>
      </c>
      <c r="BF336" s="56" t="n">
        <f aca="false">BE340</f>
        <v>0</v>
      </c>
      <c r="BG336" s="56" t="n">
        <f aca="false">BF340</f>
        <v>0</v>
      </c>
      <c r="BH336" s="56" t="n">
        <f aca="false">BG340</f>
        <v>0</v>
      </c>
      <c r="BI336" s="56" t="n">
        <f aca="false">BH340</f>
        <v>0</v>
      </c>
      <c r="BJ336" s="56" t="n">
        <f aca="false">BI340</f>
        <v>0</v>
      </c>
      <c r="BK336" s="56" t="n">
        <f aca="false">BJ340</f>
        <v>0</v>
      </c>
      <c r="BL336" s="56" t="n">
        <f aca="false">BK340</f>
        <v>0</v>
      </c>
      <c r="BM336" s="56" t="n">
        <f aca="false">BL340</f>
        <v>0</v>
      </c>
      <c r="BN336" s="56" t="n">
        <f aca="false">BM340</f>
        <v>0</v>
      </c>
      <c r="BO336" s="56" t="n">
        <f aca="false">BN340</f>
        <v>0</v>
      </c>
      <c r="BP336" s="56" t="n">
        <f aca="false">BO340</f>
        <v>0</v>
      </c>
      <c r="BQ336" s="56" t="n">
        <f aca="false">BP340</f>
        <v>0</v>
      </c>
      <c r="BR336" s="56" t="n">
        <f aca="false">BQ340</f>
        <v>0</v>
      </c>
      <c r="BS336" s="56" t="n">
        <f aca="false">BR340</f>
        <v>0</v>
      </c>
      <c r="BT336" s="56" t="n">
        <f aca="false">BS340</f>
        <v>0</v>
      </c>
      <c r="BU336" s="56" t="n">
        <f aca="false">BT340</f>
        <v>0</v>
      </c>
      <c r="BV336" s="56" t="n">
        <f aca="false">BU340</f>
        <v>0</v>
      </c>
      <c r="BW336" s="56" t="n">
        <f aca="false">BV340</f>
        <v>0</v>
      </c>
      <c r="BX336" s="56" t="n">
        <f aca="false">BW340</f>
        <v>0</v>
      </c>
      <c r="BY336" s="56" t="n">
        <f aca="false">BX340</f>
        <v>0</v>
      </c>
      <c r="BZ336" s="56" t="n">
        <f aca="false">BY340</f>
        <v>0</v>
      </c>
      <c r="CA336" s="56" t="n">
        <f aca="false">BZ340</f>
        <v>0</v>
      </c>
      <c r="CB336" s="56" t="n">
        <f aca="false">CA340</f>
        <v>0</v>
      </c>
      <c r="CC336" s="56" t="n">
        <f aca="false">CB340</f>
        <v>0</v>
      </c>
      <c r="CD336" s="56" t="n">
        <f aca="false">CC340</f>
        <v>0</v>
      </c>
      <c r="CE336" s="56" t="n">
        <f aca="false">CD340</f>
        <v>0</v>
      </c>
      <c r="CF336" s="56" t="n">
        <f aca="false">CE340</f>
        <v>0</v>
      </c>
      <c r="CG336" s="56" t="n">
        <f aca="false">CF340</f>
        <v>0</v>
      </c>
      <c r="CH336" s="56" t="n">
        <f aca="false">CG340</f>
        <v>0</v>
      </c>
      <c r="CI336" s="56" t="n">
        <f aca="false">CH340</f>
        <v>0</v>
      </c>
      <c r="CJ336" s="56" t="n">
        <f aca="false">CI340</f>
        <v>0</v>
      </c>
      <c r="CK336" s="56" t="n">
        <f aca="false">CJ340</f>
        <v>0</v>
      </c>
      <c r="CL336" s="56" t="n">
        <f aca="false">CK340</f>
        <v>0</v>
      </c>
      <c r="CM336" s="56" t="n">
        <f aca="false">CL340</f>
        <v>0</v>
      </c>
      <c r="CN336" s="56" t="n">
        <f aca="false">CM340</f>
        <v>0</v>
      </c>
      <c r="CO336" s="56" t="n">
        <f aca="false">CN340</f>
        <v>0</v>
      </c>
      <c r="CP336" s="56" t="n">
        <f aca="false">CO340</f>
        <v>0</v>
      </c>
      <c r="CQ336" s="56" t="n">
        <f aca="false">CP340</f>
        <v>0</v>
      </c>
      <c r="CR336" s="56" t="n">
        <f aca="false">CQ340</f>
        <v>0</v>
      </c>
      <c r="CS336" s="56" t="n">
        <f aca="false">CR340</f>
        <v>0</v>
      </c>
      <c r="CT336" s="56" t="n">
        <f aca="false">CS340</f>
        <v>0</v>
      </c>
      <c r="CU336" s="56" t="n">
        <f aca="false">CT340</f>
        <v>0</v>
      </c>
      <c r="CV336" s="56" t="n">
        <f aca="false">CU340</f>
        <v>0</v>
      </c>
      <c r="CW336" s="56" t="n">
        <f aca="false">CV340</f>
        <v>0</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173</v>
      </c>
      <c r="B337" s="56"/>
      <c r="C337" s="56"/>
      <c r="D337" s="56"/>
      <c r="E337" s="56" t="n">
        <f aca="false">IF(AND(MOD(1,3)=0,E336&gt;0),E336*Assumptions!$B$59,0)</f>
        <v>0</v>
      </c>
      <c r="F337" s="56" t="n">
        <f aca="false">IF(AND(MOD(2,3)=0,F336&gt;0),F336*Assumptions!$B$59,0)</f>
        <v>0</v>
      </c>
      <c r="G337" s="56" t="n">
        <f aca="false">IF(AND(MOD(3,3)=0,G336&gt;0),G336*Assumptions!$B$59,0)</f>
        <v>0</v>
      </c>
      <c r="H337" s="56" t="n">
        <f aca="false">IF(AND(MOD(4,3)=0,H336&gt;0),H336*Assumptions!$B$59,0)</f>
        <v>0</v>
      </c>
      <c r="I337" s="56" t="n">
        <f aca="false">IF(AND(MOD(5,3)=0,I336&gt;0),I336*Assumptions!$B$59,0)</f>
        <v>0</v>
      </c>
      <c r="J337" s="56" t="n">
        <f aca="false">IF(AND(MOD(6,3)=0,J336&gt;0),J336*Assumptions!$B$59,0)</f>
        <v>0</v>
      </c>
      <c r="K337" s="56" t="n">
        <f aca="false">IF(AND(MOD(7,3)=0,K336&gt;0),K336*Assumptions!$B$59,0)</f>
        <v>0</v>
      </c>
      <c r="L337" s="56" t="n">
        <f aca="false">IF(AND(MOD(8,3)=0,L336&gt;0),L336*Assumptions!$B$59,0)</f>
        <v>0</v>
      </c>
      <c r="M337" s="56" t="n">
        <f aca="false">IF(AND(MOD(9,3)=0,M336&gt;0),M336*Assumptions!$B$59,0)</f>
        <v>0</v>
      </c>
      <c r="N337" s="56" t="n">
        <f aca="false">IF(AND(MOD(10,3)=0,N336&gt;0),N336*Assumptions!$B$59,0)</f>
        <v>0</v>
      </c>
      <c r="O337" s="56" t="n">
        <f aca="false">IF(AND(MOD(11,3)=0,O336&gt;0),O336*Assumptions!$B$59,0)</f>
        <v>0</v>
      </c>
      <c r="P337" s="56" t="n">
        <f aca="false">IF(AND(MOD(12,3)=0,P336&gt;0),P336*Assumptions!$B$59,0)</f>
        <v>0</v>
      </c>
      <c r="Q337" s="56" t="n">
        <f aca="false">IF(AND(MOD(13,3)=0,Q336&gt;0),Q336*Assumptions!$B$59,0)</f>
        <v>0</v>
      </c>
      <c r="R337" s="56" t="n">
        <f aca="false">IF(AND(MOD(14,3)=0,R336&gt;0),R336*Assumptions!$B$59,0)</f>
        <v>0</v>
      </c>
      <c r="S337" s="56" t="n">
        <f aca="false">IF(AND(MOD(15,3)=0,S336&gt;0),S336*Assumptions!$B$59,0)</f>
        <v>0</v>
      </c>
      <c r="T337" s="56" t="n">
        <f aca="false">IF(AND(MOD(16,3)=0,T336&gt;0),T336*Assumptions!$B$59,0)</f>
        <v>0</v>
      </c>
      <c r="U337" s="56" t="n">
        <f aca="false">IF(AND(MOD(17,3)=0,U336&gt;0),U336*Assumptions!$B$59,0)</f>
        <v>0</v>
      </c>
      <c r="V337" s="56" t="n">
        <f aca="false">IF(AND(MOD(18,3)=0,V336&gt;0),V336*Assumptions!$B$59,0)</f>
        <v>0</v>
      </c>
      <c r="W337" s="56" t="n">
        <f aca="false">IF(AND(MOD(19,3)=0,W336&gt;0),W336*Assumptions!$B$59,0)</f>
        <v>0</v>
      </c>
      <c r="X337" s="56" t="n">
        <f aca="false">IF(AND(MOD(20,3)=0,X336&gt;0),X336*Assumptions!$B$59,0)</f>
        <v>0</v>
      </c>
      <c r="Y337" s="56" t="n">
        <f aca="false">IF(AND(MOD(21,3)=0,Y336&gt;0),Y336*Assumptions!$B$59,0)</f>
        <v>0</v>
      </c>
      <c r="Z337" s="56" t="n">
        <f aca="false">IF(AND(MOD(22,3)=0,Z336&gt;0),Z336*Assumptions!$B$59,0)</f>
        <v>0</v>
      </c>
      <c r="AA337" s="56" t="n">
        <f aca="false">IF(AND(MOD(23,3)=0,AA336&gt;0),AA336*Assumptions!$B$59,0)</f>
        <v>0</v>
      </c>
      <c r="AB337" s="56" t="n">
        <f aca="false">IF(AND(MOD(24,3)=0,AB336&gt;0),AB336*Assumptions!$B$59,0)</f>
        <v>0</v>
      </c>
      <c r="AC337" s="56" t="n">
        <f aca="false">IF(AND(MOD(25,3)=0,AC336&gt;0),AC336*Assumptions!$B$59,0)</f>
        <v>0</v>
      </c>
      <c r="AD337" s="56" t="n">
        <f aca="false">IF(AND(MOD(26,3)=0,AD336&gt;0),AD336*Assumptions!$B$59,0)</f>
        <v>0</v>
      </c>
      <c r="AE337" s="56" t="n">
        <f aca="false">IF(AND(MOD(27,3)=0,AE336&gt;0),AE336*Assumptions!$B$59,0)</f>
        <v>0</v>
      </c>
      <c r="AF337" s="56" t="n">
        <f aca="false">IF(AND(MOD(28,3)=0,AF336&gt;0),AF336*Assumptions!$B$59,0)</f>
        <v>0</v>
      </c>
      <c r="AG337" s="56" t="n">
        <f aca="false">IF(AND(MOD(29,3)=0,AG336&gt;0),AG336*Assumptions!$B$59,0)</f>
        <v>0</v>
      </c>
      <c r="AH337" s="56" t="n">
        <f aca="false">IF(AND(MOD(30,3)=0,AH336&gt;0),AH336*Assumptions!$B$59,0)</f>
        <v>0</v>
      </c>
      <c r="AI337" s="56" t="n">
        <f aca="false">IF(AND(MOD(31,3)=0,AI336&gt;0),AI336*Assumptions!$B$59,0)</f>
        <v>0</v>
      </c>
      <c r="AJ337" s="56" t="n">
        <f aca="false">IF(AND(MOD(32,3)=0,AJ336&gt;0),AJ336*Assumptions!$B$59,0)</f>
        <v>0</v>
      </c>
      <c r="AK337" s="56" t="n">
        <f aca="false">IF(AND(MOD(33,3)=0,AK336&gt;0),AK336*Assumptions!$B$59,0)</f>
        <v>0</v>
      </c>
      <c r="AL337" s="56" t="n">
        <f aca="false">IF(AND(MOD(34,3)=0,AL336&gt;0),AL336*Assumptions!$B$59,0)</f>
        <v>0</v>
      </c>
      <c r="AM337" s="56" t="n">
        <f aca="false">IF(AND(MOD(35,3)=0,AM336&gt;0),AM336*Assumptions!$B$59,0)</f>
        <v>0</v>
      </c>
      <c r="AN337" s="56" t="n">
        <f aca="false">IF(AND(MOD(36,3)=0,AN336&gt;0),AN336*Assumptions!$B$59,0)</f>
        <v>0</v>
      </c>
      <c r="AO337" s="56" t="n">
        <f aca="false">IF(AND(MOD(37,3)=0,AO336&gt;0),AO336*Assumptions!$B$59,0)</f>
        <v>0</v>
      </c>
      <c r="AP337" s="56" t="n">
        <f aca="false">IF(AND(MOD(38,3)=0,AP336&gt;0),AP336*Assumptions!$B$59,0)</f>
        <v>0</v>
      </c>
      <c r="AQ337" s="56" t="n">
        <f aca="false">IF(AND(MOD(39,3)=0,AQ336&gt;0),AQ336*Assumptions!$B$59,0)</f>
        <v>0</v>
      </c>
      <c r="AR337" s="56" t="n">
        <f aca="false">IF(AND(MOD(40,3)=0,AR336&gt;0),AR336*Assumptions!$B$59,0)</f>
        <v>0</v>
      </c>
      <c r="AS337" s="56" t="n">
        <f aca="false">IF(AND(MOD(41,3)=0,AS336&gt;0),AS336*Assumptions!$B$59,0)</f>
        <v>0</v>
      </c>
      <c r="AT337" s="56" t="n">
        <f aca="false">IF(AND(MOD(42,3)=0,AT336&gt;0),AT336*Assumptions!$B$59,0)</f>
        <v>0</v>
      </c>
      <c r="AU337" s="56" t="n">
        <f aca="false">IF(AND(MOD(43,3)=0,AU336&gt;0),AU336*Assumptions!$B$59,0)</f>
        <v>0</v>
      </c>
      <c r="AV337" s="56" t="n">
        <f aca="false">IF(AND(MOD(44,3)=0,AV336&gt;0),AV336*Assumptions!$B$59,0)</f>
        <v>0</v>
      </c>
      <c r="AW337" s="56" t="n">
        <f aca="false">IF(AND(MOD(45,3)=0,AW336&gt;0),AW336*Assumptions!$B$59,0)</f>
        <v>0</v>
      </c>
      <c r="AX337" s="56" t="n">
        <f aca="false">IF(AND(MOD(46,3)=0,AX336&gt;0),AX336*Assumptions!$B$59,0)</f>
        <v>0</v>
      </c>
      <c r="AY337" s="56" t="n">
        <f aca="false">IF(AND(MOD(47,3)=0,AY336&gt;0),AY336*Assumptions!$B$59,0)</f>
        <v>0</v>
      </c>
      <c r="AZ337" s="56" t="n">
        <f aca="false">IF(AND(MOD(48,3)=0,AZ336&gt;0),AZ336*Assumptions!$B$59,0)</f>
        <v>0</v>
      </c>
      <c r="BA337" s="56" t="n">
        <f aca="false">IF(AND(MOD(49,3)=0,BA336&gt;0),BA336*Assumptions!$B$59,0)</f>
        <v>0</v>
      </c>
      <c r="BB337" s="56" t="n">
        <f aca="false">IF(AND(MOD(50,3)=0,BB336&gt;0),BB336*Assumptions!$B$59,0)</f>
        <v>0</v>
      </c>
      <c r="BC337" s="56" t="n">
        <f aca="false">IF(AND(MOD(51,3)=0,BC336&gt;0),BC336*Assumptions!$B$59,0)</f>
        <v>0</v>
      </c>
      <c r="BD337" s="56" t="n">
        <f aca="false">IF(AND(MOD(52,3)=0,BD336&gt;0),BD336*Assumptions!$B$59,0)</f>
        <v>0</v>
      </c>
      <c r="BE337" s="56" t="n">
        <f aca="false">IF(AND(MOD(53,3)=0,BE336&gt;0),BE336*Assumptions!$B$59,0)</f>
        <v>0</v>
      </c>
      <c r="BF337" s="56" t="n">
        <f aca="false">IF(AND(MOD(54,3)=0,BF336&gt;0),BF336*Assumptions!$B$59,0)</f>
        <v>0</v>
      </c>
      <c r="BG337" s="56" t="n">
        <f aca="false">IF(AND(MOD(55,3)=0,BG336&gt;0),BG336*Assumptions!$B$59,0)</f>
        <v>0</v>
      </c>
      <c r="BH337" s="56" t="n">
        <f aca="false">IF(AND(MOD(56,3)=0,BH336&gt;0),BH336*Assumptions!$B$59,0)</f>
        <v>0</v>
      </c>
      <c r="BI337" s="56" t="n">
        <f aca="false">IF(AND(MOD(57,3)=0,BI336&gt;0),BI336*Assumptions!$B$59,0)</f>
        <v>0</v>
      </c>
      <c r="BJ337" s="56" t="n">
        <f aca="false">IF(AND(MOD(58,3)=0,BJ336&gt;0),BJ336*Assumptions!$B$59,0)</f>
        <v>0</v>
      </c>
      <c r="BK337" s="56" t="n">
        <f aca="false">IF(AND(MOD(59,3)=0,BK336&gt;0),BK336*Assumptions!$B$59,0)</f>
        <v>0</v>
      </c>
      <c r="BL337" s="56" t="n">
        <f aca="false">IF(AND(MOD(60,3)=0,BL336&gt;0),BL336*Assumptions!$B$59,0)</f>
        <v>0</v>
      </c>
      <c r="BM337" s="56" t="n">
        <f aca="false">IF(AND(MOD(61,3)=0,BM336&gt;0),BM336*Assumptions!$B$59,0)</f>
        <v>0</v>
      </c>
      <c r="BN337" s="56" t="n">
        <f aca="false">IF(AND(MOD(62,3)=0,BN336&gt;0),BN336*Assumptions!$B$59,0)</f>
        <v>0</v>
      </c>
      <c r="BO337" s="56" t="n">
        <f aca="false">IF(AND(MOD(63,3)=0,BO336&gt;0),BO336*Assumptions!$B$59,0)</f>
        <v>0</v>
      </c>
      <c r="BP337" s="56" t="n">
        <f aca="false">IF(AND(MOD(64,3)=0,BP336&gt;0),BP336*Assumptions!$B$59,0)</f>
        <v>0</v>
      </c>
      <c r="BQ337" s="56" t="n">
        <f aca="false">IF(AND(MOD(65,3)=0,BQ336&gt;0),BQ336*Assumptions!$B$59,0)</f>
        <v>0</v>
      </c>
      <c r="BR337" s="56" t="n">
        <f aca="false">IF(AND(MOD(66,3)=0,BR336&gt;0),BR336*Assumptions!$B$59,0)</f>
        <v>0</v>
      </c>
      <c r="BS337" s="56" t="n">
        <f aca="false">IF(AND(MOD(67,3)=0,BS336&gt;0),BS336*Assumptions!$B$59,0)</f>
        <v>0</v>
      </c>
      <c r="BT337" s="56" t="n">
        <f aca="false">IF(AND(MOD(68,3)=0,BT336&gt;0),BT336*Assumptions!$B$59,0)</f>
        <v>0</v>
      </c>
      <c r="BU337" s="56" t="n">
        <f aca="false">IF(AND(MOD(69,3)=0,BU336&gt;0),BU336*Assumptions!$B$59,0)</f>
        <v>0</v>
      </c>
      <c r="BV337" s="56" t="n">
        <f aca="false">IF(AND(MOD(70,3)=0,BV336&gt;0),BV336*Assumptions!$B$59,0)</f>
        <v>0</v>
      </c>
      <c r="BW337" s="56" t="n">
        <f aca="false">IF(AND(MOD(71,3)=0,BW336&gt;0),BW336*Assumptions!$B$59,0)</f>
        <v>0</v>
      </c>
      <c r="BX337" s="56" t="n">
        <f aca="false">IF(AND(MOD(72,3)=0,BX336&gt;0),BX336*Assumptions!$B$59,0)</f>
        <v>0</v>
      </c>
      <c r="BY337" s="56" t="n">
        <f aca="false">IF(AND(MOD(73,3)=0,BY336&gt;0),BY336*Assumptions!$B$59,0)</f>
        <v>0</v>
      </c>
      <c r="BZ337" s="56" t="n">
        <f aca="false">IF(AND(MOD(74,3)=0,BZ336&gt;0),BZ336*Assumptions!$B$59,0)</f>
        <v>0</v>
      </c>
      <c r="CA337" s="56" t="n">
        <f aca="false">IF(AND(MOD(75,3)=0,CA336&gt;0),CA336*Assumptions!$B$59,0)</f>
        <v>0</v>
      </c>
      <c r="CB337" s="56" t="n">
        <f aca="false">IF(AND(MOD(76,3)=0,CB336&gt;0),CB336*Assumptions!$B$59,0)</f>
        <v>0</v>
      </c>
      <c r="CC337" s="56" t="n">
        <f aca="false">IF(AND(MOD(77,3)=0,CC336&gt;0),CC336*Assumptions!$B$59,0)</f>
        <v>0</v>
      </c>
      <c r="CD337" s="56" t="n">
        <f aca="false">IF(AND(MOD(78,3)=0,CD336&gt;0),CD336*Assumptions!$B$59,0)</f>
        <v>0</v>
      </c>
      <c r="CE337" s="56" t="n">
        <f aca="false">IF(AND(MOD(79,3)=0,CE336&gt;0),CE336*Assumptions!$B$59,0)</f>
        <v>0</v>
      </c>
      <c r="CF337" s="56" t="n">
        <f aca="false">IF(AND(MOD(80,3)=0,CF336&gt;0),CF336*Assumptions!$B$59,0)</f>
        <v>0</v>
      </c>
      <c r="CG337" s="56" t="n">
        <f aca="false">IF(AND(MOD(81,3)=0,CG336&gt;0),CG336*Assumptions!$B$59,0)</f>
        <v>0</v>
      </c>
      <c r="CH337" s="56" t="n">
        <f aca="false">IF(AND(MOD(82,3)=0,CH336&gt;0),CH336*Assumptions!$B$59,0)</f>
        <v>0</v>
      </c>
      <c r="CI337" s="56" t="n">
        <f aca="false">IF(AND(MOD(83,3)=0,CI336&gt;0),CI336*Assumptions!$B$59,0)</f>
        <v>0</v>
      </c>
      <c r="CJ337" s="56" t="n">
        <f aca="false">IF(AND(MOD(84,3)=0,CJ336&gt;0),CJ336*Assumptions!$B$59,0)</f>
        <v>0</v>
      </c>
      <c r="CK337" s="56" t="n">
        <f aca="false">IF(AND(MOD(85,3)=0,CK336&gt;0),CK336*Assumptions!$B$59,0)</f>
        <v>0</v>
      </c>
      <c r="CL337" s="56" t="n">
        <f aca="false">IF(AND(MOD(86,3)=0,CL336&gt;0),CL336*Assumptions!$B$59,0)</f>
        <v>0</v>
      </c>
      <c r="CM337" s="56" t="n">
        <f aca="false">IF(AND(MOD(87,3)=0,CM336&gt;0),CM336*Assumptions!$B$59,0)</f>
        <v>0</v>
      </c>
      <c r="CN337" s="56" t="n">
        <f aca="false">IF(AND(MOD(88,3)=0,CN336&gt;0),CN336*Assumptions!$B$59,0)</f>
        <v>0</v>
      </c>
      <c r="CO337" s="56" t="n">
        <f aca="false">IF(AND(MOD(89,3)=0,CO336&gt;0),CO336*Assumptions!$B$59,0)</f>
        <v>0</v>
      </c>
      <c r="CP337" s="56" t="n">
        <f aca="false">IF(AND(MOD(90,3)=0,CP336&gt;0),CP336*Assumptions!$B$59,0)</f>
        <v>0</v>
      </c>
      <c r="CQ337" s="56" t="n">
        <f aca="false">IF(AND(MOD(91,3)=0,CQ336&gt;0),CQ336*Assumptions!$B$59,0)</f>
        <v>0</v>
      </c>
      <c r="CR337" s="56" t="n">
        <f aca="false">IF(AND(MOD(92,3)=0,CR336&gt;0),CR336*Assumptions!$B$59,0)</f>
        <v>0</v>
      </c>
      <c r="CS337" s="56" t="n">
        <f aca="false">IF(AND(MOD(93,3)=0,CS336&gt;0),CS336*Assumptions!$B$59,0)</f>
        <v>0</v>
      </c>
      <c r="CT337" s="56" t="n">
        <f aca="false">IF(AND(MOD(94,3)=0,CT336&gt;0),CT336*Assumptions!$B$59,0)</f>
        <v>0</v>
      </c>
      <c r="CU337" s="56" t="n">
        <f aca="false">IF(AND(MOD(95,3)=0,CU336&gt;0),CU336*Assumptions!$B$59,0)</f>
        <v>0</v>
      </c>
      <c r="CV337" s="56" t="n">
        <f aca="false">IF(AND(MOD(96,3)=0,CV336&gt;0),CV336*Assumptions!$B$59,0)</f>
        <v>0</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174</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175</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-0</v>
      </c>
      <c r="CO339" s="58" t="n">
        <f aca="false">-MIN(CO336+CO337+CO338,MAX(0,CO256-Helpers!CM26))</f>
        <v>-0</v>
      </c>
      <c r="CP339" s="58" t="n">
        <f aca="false">-MIN(CP336+CP337+CP338,MAX(0,CP256-Helpers!CN26))</f>
        <v>-0</v>
      </c>
      <c r="CQ339" s="58" t="n">
        <f aca="false">-MIN(CQ336+CQ337+CQ338,MAX(0,CQ256-Helpers!CO26))</f>
        <v>-0</v>
      </c>
      <c r="CR339" s="58" t="n">
        <f aca="false">-MIN(CR336+CR337+CR338,MAX(0,CR256-Helpers!CP26))</f>
        <v>-0</v>
      </c>
      <c r="CS339" s="58" t="n">
        <f aca="false">-MIN(CS336+CS337+CS338,MAX(0,CS256-Helpers!CQ26))</f>
        <v>-0</v>
      </c>
      <c r="CT339" s="58" t="n">
        <f aca="false">-MIN(CT336+CT337+CT338,MAX(0,CT256-Helpers!CR26))</f>
        <v>-0</v>
      </c>
      <c r="CU339" s="58" t="n">
        <f aca="false">-MIN(CU336+CU337+CU338,MAX(0,CU256-Helpers!CS26))</f>
        <v>-0</v>
      </c>
      <c r="CV339" s="58" t="n">
        <f aca="false">-MIN(CV336+CV337+CV338,MAX(0,CV256-Helpers!CT26))</f>
        <v>-0</v>
      </c>
      <c r="CW339" s="58" t="n">
        <f aca="false">-MIN(CW336+CW337+CW338,MAX(0,CW256-Helpers!CU26))</f>
        <v>-0</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176</v>
      </c>
      <c r="B340" s="54"/>
      <c r="C340" s="54"/>
      <c r="D340" s="54"/>
      <c r="E340" s="54" t="n">
        <f aca="false">MAX(0,E336+E337+E338+E339)</f>
        <v>0</v>
      </c>
      <c r="F340" s="54" t="n">
        <f aca="false">MAX(0,F336+F337+F338+F339)</f>
        <v>0</v>
      </c>
      <c r="G340" s="54" t="n">
        <f aca="false">MAX(0,G336+G337+G338+G339)</f>
        <v>0</v>
      </c>
      <c r="H340" s="54" t="n">
        <f aca="false">MAX(0,H336+H337+H338+H339)</f>
        <v>0</v>
      </c>
      <c r="I340" s="54" t="n">
        <f aca="false">MAX(0,I336+I337+I338+I339)</f>
        <v>0</v>
      </c>
      <c r="J340" s="54" t="n">
        <f aca="false">MAX(0,J336+J337+J338+J339)</f>
        <v>0</v>
      </c>
      <c r="K340" s="54" t="n">
        <f aca="false">MAX(0,K336+K337+K338+K339)</f>
        <v>0</v>
      </c>
      <c r="L340" s="54" t="n">
        <f aca="false">MAX(0,L336+L337+L338+L339)</f>
        <v>0</v>
      </c>
      <c r="M340" s="54" t="n">
        <f aca="false">MAX(0,M336+M337+M338+M339)</f>
        <v>0</v>
      </c>
      <c r="N340" s="54" t="n">
        <f aca="false">MAX(0,N336+N337+N338+N339)</f>
        <v>0</v>
      </c>
      <c r="O340" s="54" t="n">
        <f aca="false">MAX(0,O336+O337+O338+O339)</f>
        <v>0</v>
      </c>
      <c r="P340" s="54" t="n">
        <f aca="false">MAX(0,P336+P337+P338+P339)</f>
        <v>0</v>
      </c>
      <c r="Q340" s="54" t="n">
        <f aca="false">MAX(0,Q336+Q337+Q338+Q339)</f>
        <v>0</v>
      </c>
      <c r="R340" s="54" t="n">
        <f aca="false">MAX(0,R336+R337+R338+R339)</f>
        <v>0</v>
      </c>
      <c r="S340" s="54" t="n">
        <f aca="false">MAX(0,S336+S337+S338+S339)</f>
        <v>0</v>
      </c>
      <c r="T340" s="54" t="n">
        <f aca="false">MAX(0,T336+T337+T338+T339)</f>
        <v>0</v>
      </c>
      <c r="U340" s="54" t="n">
        <f aca="false">MAX(0,U336+U337+U338+U339)</f>
        <v>0</v>
      </c>
      <c r="V340" s="54" t="n">
        <f aca="false">MAX(0,V336+V337+V338+V339)</f>
        <v>0</v>
      </c>
      <c r="W340" s="54" t="n">
        <f aca="false">MAX(0,W336+W337+W338+W339)</f>
        <v>0</v>
      </c>
      <c r="X340" s="54" t="n">
        <f aca="false">MAX(0,X336+X337+X338+X339)</f>
        <v>0</v>
      </c>
      <c r="Y340" s="54" t="n">
        <f aca="false">MAX(0,Y336+Y337+Y338+Y339)</f>
        <v>0</v>
      </c>
      <c r="Z340" s="54" t="n">
        <f aca="false">MAX(0,Z336+Z337+Z338+Z339)</f>
        <v>0</v>
      </c>
      <c r="AA340" s="54" t="n">
        <f aca="false">MAX(0,AA336+AA337+AA338+AA339)</f>
        <v>0</v>
      </c>
      <c r="AB340" s="54" t="n">
        <f aca="false">MAX(0,AB336+AB337+AB338+AB339)</f>
        <v>0</v>
      </c>
      <c r="AC340" s="54" t="n">
        <f aca="false">MAX(0,AC336+AC337+AC338+AC339)</f>
        <v>0</v>
      </c>
      <c r="AD340" s="54" t="n">
        <f aca="false">MAX(0,AD336+AD337+AD338+AD339)</f>
        <v>0</v>
      </c>
      <c r="AE340" s="54" t="n">
        <f aca="false">MAX(0,AE336+AE337+AE338+AE339)</f>
        <v>0</v>
      </c>
      <c r="AF340" s="54" t="n">
        <f aca="false">MAX(0,AF336+AF337+AF338+AF339)</f>
        <v>0</v>
      </c>
      <c r="AG340" s="54" t="n">
        <f aca="false">MAX(0,AG336+AG337+AG338+AG339)</f>
        <v>0</v>
      </c>
      <c r="AH340" s="54" t="n">
        <f aca="false">MAX(0,AH336+AH337+AH338+AH339)</f>
        <v>0</v>
      </c>
      <c r="AI340" s="54" t="n">
        <f aca="false">MAX(0,AI336+AI337+AI338+AI339)</f>
        <v>0</v>
      </c>
      <c r="AJ340" s="54" t="n">
        <f aca="false">MAX(0,AJ336+AJ337+AJ338+AJ339)</f>
        <v>0</v>
      </c>
      <c r="AK340" s="54" t="n">
        <f aca="false">MAX(0,AK336+AK337+AK338+AK339)</f>
        <v>0</v>
      </c>
      <c r="AL340" s="54" t="n">
        <f aca="false">MAX(0,AL336+AL337+AL338+AL339)</f>
        <v>0</v>
      </c>
      <c r="AM340" s="54" t="n">
        <f aca="false">MAX(0,AM336+AM337+AM338+AM339)</f>
        <v>0</v>
      </c>
      <c r="AN340" s="54" t="n">
        <f aca="false">MAX(0,AN336+AN337+AN338+AN339)</f>
        <v>0</v>
      </c>
      <c r="AO340" s="54" t="n">
        <f aca="false">MAX(0,AO336+AO337+AO338+AO339)</f>
        <v>0</v>
      </c>
      <c r="AP340" s="54" t="n">
        <f aca="false">MAX(0,AP336+AP337+AP338+AP339)</f>
        <v>0</v>
      </c>
      <c r="AQ340" s="54" t="n">
        <f aca="false">MAX(0,AQ336+AQ337+AQ338+AQ339)</f>
        <v>0</v>
      </c>
      <c r="AR340" s="54" t="n">
        <f aca="false">MAX(0,AR336+AR337+AR338+AR339)</f>
        <v>0</v>
      </c>
      <c r="AS340" s="54" t="n">
        <f aca="false">MAX(0,AS336+AS337+AS338+AS339)</f>
        <v>0</v>
      </c>
      <c r="AT340" s="54" t="n">
        <f aca="false">MAX(0,AT336+AT337+AT338+AT339)</f>
        <v>0</v>
      </c>
      <c r="AU340" s="54" t="n">
        <f aca="false">MAX(0,AU336+AU337+AU338+AU339)</f>
        <v>0</v>
      </c>
      <c r="AV340" s="54" t="n">
        <f aca="false">MAX(0,AV336+AV337+AV338+AV339)</f>
        <v>0</v>
      </c>
      <c r="AW340" s="54" t="n">
        <f aca="false">MAX(0,AW336+AW337+AW338+AW339)</f>
        <v>0</v>
      </c>
      <c r="AX340" s="54" t="n">
        <f aca="false">MAX(0,AX336+AX337+AX338+AX339)</f>
        <v>0</v>
      </c>
      <c r="AY340" s="54" t="n">
        <f aca="false">MAX(0,AY336+AY337+AY338+AY339)</f>
        <v>0</v>
      </c>
      <c r="AZ340" s="54" t="n">
        <f aca="false">MAX(0,AZ336+AZ337+AZ338+AZ339)</f>
        <v>0</v>
      </c>
      <c r="BA340" s="54" t="n">
        <f aca="false">MAX(0,BA336+BA337+BA338+BA339)</f>
        <v>0</v>
      </c>
      <c r="BB340" s="54" t="n">
        <f aca="false">MAX(0,BB336+BB337+BB338+BB339)</f>
        <v>0</v>
      </c>
      <c r="BC340" s="54" t="n">
        <f aca="false">MAX(0,BC336+BC337+BC338+BC339)</f>
        <v>0</v>
      </c>
      <c r="BD340" s="54" t="n">
        <f aca="false">MAX(0,BD336+BD337+BD338+BD339)</f>
        <v>0</v>
      </c>
      <c r="BE340" s="54" t="n">
        <f aca="false">MAX(0,BE336+BE337+BE338+BE339)</f>
        <v>0</v>
      </c>
      <c r="BF340" s="54" t="n">
        <f aca="false">MAX(0,BF336+BF337+BF338+BF339)</f>
        <v>0</v>
      </c>
      <c r="BG340" s="54" t="n">
        <f aca="false">MAX(0,BG336+BG337+BG338+BG339)</f>
        <v>0</v>
      </c>
      <c r="BH340" s="54" t="n">
        <f aca="false">MAX(0,BH336+BH337+BH338+BH339)</f>
        <v>0</v>
      </c>
      <c r="BI340" s="54" t="n">
        <f aca="false">MAX(0,BI336+BI337+BI338+BI339)</f>
        <v>0</v>
      </c>
      <c r="BJ340" s="54" t="n">
        <f aca="false">MAX(0,BJ336+BJ337+BJ338+BJ339)</f>
        <v>0</v>
      </c>
      <c r="BK340" s="54" t="n">
        <f aca="false">MAX(0,BK336+BK337+BK338+BK339)</f>
        <v>0</v>
      </c>
      <c r="BL340" s="54" t="n">
        <f aca="false">MAX(0,BL336+BL337+BL338+BL339)</f>
        <v>0</v>
      </c>
      <c r="BM340" s="54" t="n">
        <f aca="false">MAX(0,BM336+BM337+BM338+BM339)</f>
        <v>0</v>
      </c>
      <c r="BN340" s="54" t="n">
        <f aca="false">MAX(0,BN336+BN337+BN338+BN339)</f>
        <v>0</v>
      </c>
      <c r="BO340" s="54" t="n">
        <f aca="false">MAX(0,BO336+BO337+BO338+BO339)</f>
        <v>0</v>
      </c>
      <c r="BP340" s="54" t="n">
        <f aca="false">MAX(0,BP336+BP337+BP338+BP339)</f>
        <v>0</v>
      </c>
      <c r="BQ340" s="54" t="n">
        <f aca="false">MAX(0,BQ336+BQ337+BQ338+BQ339)</f>
        <v>0</v>
      </c>
      <c r="BR340" s="54" t="n">
        <f aca="false">MAX(0,BR336+BR337+BR338+BR339)</f>
        <v>0</v>
      </c>
      <c r="BS340" s="54" t="n">
        <f aca="false">MAX(0,BS336+BS337+BS338+BS339)</f>
        <v>0</v>
      </c>
      <c r="BT340" s="54" t="n">
        <f aca="false">MAX(0,BT336+BT337+BT338+BT339)</f>
        <v>0</v>
      </c>
      <c r="BU340" s="54" t="n">
        <f aca="false">MAX(0,BU336+BU337+BU338+BU339)</f>
        <v>0</v>
      </c>
      <c r="BV340" s="54" t="n">
        <f aca="false">MAX(0,BV336+BV337+BV338+BV339)</f>
        <v>0</v>
      </c>
      <c r="BW340" s="54" t="n">
        <f aca="false">MAX(0,BW336+BW337+BW338+BW339)</f>
        <v>0</v>
      </c>
      <c r="BX340" s="54" t="n">
        <f aca="false">MAX(0,BX336+BX337+BX338+BX339)</f>
        <v>0</v>
      </c>
      <c r="BY340" s="54" t="n">
        <f aca="false">MAX(0,BY336+BY337+BY338+BY339)</f>
        <v>0</v>
      </c>
      <c r="BZ340" s="54" t="n">
        <f aca="false">MAX(0,BZ336+BZ337+BZ338+BZ339)</f>
        <v>0</v>
      </c>
      <c r="CA340" s="54" t="n">
        <f aca="false">MAX(0,CA336+CA337+CA338+CA339)</f>
        <v>0</v>
      </c>
      <c r="CB340" s="54" t="n">
        <f aca="false">MAX(0,CB336+CB337+CB338+CB339)</f>
        <v>0</v>
      </c>
      <c r="CC340" s="54" t="n">
        <f aca="false">MAX(0,CC336+CC337+CC338+CC339)</f>
        <v>0</v>
      </c>
      <c r="CD340" s="54" t="n">
        <f aca="false">MAX(0,CD336+CD337+CD338+CD339)</f>
        <v>0</v>
      </c>
      <c r="CE340" s="54" t="n">
        <f aca="false">MAX(0,CE336+CE337+CE338+CE339)</f>
        <v>0</v>
      </c>
      <c r="CF340" s="54" t="n">
        <f aca="false">MAX(0,CF336+CF337+CF338+CF339)</f>
        <v>0</v>
      </c>
      <c r="CG340" s="54" t="n">
        <f aca="false">MAX(0,CG336+CG337+CG338+CG339)</f>
        <v>0</v>
      </c>
      <c r="CH340" s="54" t="n">
        <f aca="false">MAX(0,CH336+CH337+CH338+CH339)</f>
        <v>0</v>
      </c>
      <c r="CI340" s="54" t="n">
        <f aca="false">MAX(0,CI336+CI337+CI338+CI339)</f>
        <v>0</v>
      </c>
      <c r="CJ340" s="54" t="n">
        <f aca="false">MAX(0,CJ336+CJ337+CJ338+CJ339)</f>
        <v>0</v>
      </c>
      <c r="CK340" s="54" t="n">
        <f aca="false">MAX(0,CK336+CK337+CK338+CK339)</f>
        <v>0</v>
      </c>
      <c r="CL340" s="54" t="n">
        <f aca="false">MAX(0,CL336+CL337+CL338+CL339)</f>
        <v>0</v>
      </c>
      <c r="CM340" s="54" t="n">
        <f aca="false">MAX(0,CM336+CM337+CM338+CM339)</f>
        <v>0</v>
      </c>
      <c r="CN340" s="54" t="n">
        <f aca="false">MAX(0,CN336+CN337+CN338+CN339)</f>
        <v>0</v>
      </c>
      <c r="CO340" s="54" t="n">
        <f aca="false">MAX(0,CO336+CO337+CO338+CO339)</f>
        <v>0</v>
      </c>
      <c r="CP340" s="54" t="n">
        <f aca="false">MAX(0,CP336+CP337+CP338+CP339)</f>
        <v>0</v>
      </c>
      <c r="CQ340" s="54" t="n">
        <f aca="false">MAX(0,CQ336+CQ337+CQ338+CQ339)</f>
        <v>0</v>
      </c>
      <c r="CR340" s="54" t="n">
        <f aca="false">MAX(0,CR336+CR337+CR338+CR339)</f>
        <v>0</v>
      </c>
      <c r="CS340" s="54" t="n">
        <f aca="false">MAX(0,CS336+CS337+CS338+CS339)</f>
        <v>0</v>
      </c>
      <c r="CT340" s="54" t="n">
        <f aca="false">MAX(0,CT336+CT337+CT338+CT339)</f>
        <v>0</v>
      </c>
      <c r="CU340" s="54" t="n">
        <f aca="false">MAX(0,CU336+CU337+CU338+CU339)</f>
        <v>0</v>
      </c>
      <c r="CV340" s="54" t="n">
        <f aca="false">MAX(0,CV336+CV337+CV338+CV339)</f>
        <v>0</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177</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178</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179</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180</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181</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182</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0</v>
      </c>
      <c r="N353" s="13" t="n">
        <f aca="false">Helpers!L13</f>
        <v>0</v>
      </c>
      <c r="O353" s="13" t="n">
        <f aca="false">Helpers!M13</f>
        <v>0</v>
      </c>
      <c r="P353" s="13" t="n">
        <f aca="false">Helpers!N13</f>
        <v>0</v>
      </c>
      <c r="Q353" s="13" t="n">
        <f aca="false">Helpers!O13</f>
        <v>0</v>
      </c>
      <c r="R353" s="13" t="n">
        <f aca="false">Helpers!P13</f>
        <v>0</v>
      </c>
      <c r="S353" s="13" t="n">
        <f aca="false">Helpers!Q13</f>
        <v>21487539.8072024</v>
      </c>
      <c r="T353" s="13" t="n">
        <f aca="false">Helpers!R13</f>
        <v>20764411.3174149</v>
      </c>
      <c r="U353" s="13" t="n">
        <f aca="false">Helpers!S13</f>
        <v>19892931.233358</v>
      </c>
      <c r="V353" s="13" t="n">
        <f aca="false">Helpers!T13</f>
        <v>18868486.3303326</v>
      </c>
      <c r="W353" s="13" t="n">
        <f aca="false">Helpers!U13</f>
        <v>17693813.6411745</v>
      </c>
      <c r="X353" s="13" t="n">
        <f aca="false">Helpers!V13</f>
        <v>16379993.7342996</v>
      </c>
      <c r="Y353" s="13" t="n">
        <f aca="false">Helpers!W13</f>
        <v>14946649.369313</v>
      </c>
      <c r="Z353" s="13" t="n">
        <f aca="false">Helpers!X13</f>
        <v>13421327.4573362</v>
      </c>
      <c r="AA353" s="13" t="n">
        <f aca="false">Helpers!Y13</f>
        <v>11837998.1075167</v>
      </c>
      <c r="AB353" s="13" t="n">
        <f aca="false">Helpers!Z13</f>
        <v>10234847.3424833</v>
      </c>
      <c r="AC353" s="13" t="n">
        <f aca="false">Helpers!AA13</f>
        <v>8651517.99266385</v>
      </c>
      <c r="AD353" s="13" t="n">
        <f aca="false">Helpers!AB13</f>
        <v>7126196.08068705</v>
      </c>
      <c r="AE353" s="13" t="n">
        <f aca="false">Helpers!AC13</f>
        <v>5692851.7157004</v>
      </c>
      <c r="AF353" s="13" t="n">
        <f aca="false">Helpers!AD13</f>
        <v>4379031.8088255</v>
      </c>
      <c r="AG353" s="13" t="n">
        <f aca="false">Helpers!AE13</f>
        <v>3204359.1196674</v>
      </c>
      <c r="AH353" s="13" t="n">
        <f aca="false">Helpers!AF13</f>
        <v>2179914.216642</v>
      </c>
      <c r="AI353" s="13" t="n">
        <f aca="false">Helpers!AG13</f>
        <v>1308434.1325851</v>
      </c>
      <c r="AJ353" s="13" t="n">
        <f aca="false">Helpers!AH13</f>
        <v>585305.64279765</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0</v>
      </c>
      <c r="AF355" s="13" t="n">
        <f aca="false">Helpers!AD15</f>
        <v>0</v>
      </c>
      <c r="AG355" s="13" t="n">
        <f aca="false">Helpers!AE15</f>
        <v>0</v>
      </c>
      <c r="AH355" s="13" t="n">
        <f aca="false">Helpers!AF15</f>
        <v>0</v>
      </c>
      <c r="AI355" s="13" t="n">
        <f aca="false">Helpers!AG15</f>
        <v>0</v>
      </c>
      <c r="AJ355" s="13" t="n">
        <f aca="false">Helpers!AH15</f>
        <v>0</v>
      </c>
      <c r="AK355" s="13" t="n">
        <f aca="false">Helpers!AI15</f>
        <v>0</v>
      </c>
      <c r="AL355" s="13" t="n">
        <f aca="false">Helpers!AJ15</f>
        <v>0</v>
      </c>
      <c r="AM355" s="13" t="n">
        <f aca="false">Helpers!AK15</f>
        <v>0</v>
      </c>
      <c r="AN355" s="13" t="n">
        <f aca="false">Helpers!AL15</f>
        <v>0</v>
      </c>
      <c r="AO355" s="13" t="n">
        <f aca="false">Helpers!AM15</f>
        <v>0</v>
      </c>
      <c r="AP355" s="13" t="n">
        <f aca="false">Helpers!AN15</f>
        <v>0</v>
      </c>
      <c r="AQ355" s="13" t="n">
        <f aca="false">Helpers!AO15</f>
        <v>0</v>
      </c>
      <c r="AR355" s="13" t="n">
        <f aca="false">Helpers!AP15</f>
        <v>0</v>
      </c>
      <c r="AS355" s="13" t="n">
        <f aca="false">Helpers!AQ15</f>
        <v>0</v>
      </c>
      <c r="AT355" s="13" t="n">
        <f aca="false">Helpers!AR15</f>
        <v>0</v>
      </c>
      <c r="AU355" s="13" t="n">
        <f aca="false">Helpers!AS15</f>
        <v>0</v>
      </c>
      <c r="AV355" s="13" t="n">
        <f aca="false">Helpers!AT15</f>
        <v>0</v>
      </c>
      <c r="AW355" s="13" t="n">
        <f aca="false">Helpers!AU15</f>
        <v>0</v>
      </c>
      <c r="AX355" s="13" t="n">
        <f aca="false">Helpers!AV15</f>
        <v>0</v>
      </c>
      <c r="AY355" s="13" t="n">
        <f aca="false">Helpers!AW15</f>
        <v>0</v>
      </c>
      <c r="AZ355" s="13" t="n">
        <f aca="false">Helpers!AX15</f>
        <v>0</v>
      </c>
      <c r="BA355" s="13" t="n">
        <f aca="false">Helpers!AY15</f>
        <v>0</v>
      </c>
      <c r="BB355" s="13" t="n">
        <f aca="false">Helpers!AZ15</f>
        <v>0</v>
      </c>
      <c r="BC355" s="13" t="n">
        <f aca="false">Helpers!BA15</f>
        <v>0</v>
      </c>
      <c r="BD355" s="13" t="n">
        <f aca="false">Helpers!BB15</f>
        <v>0</v>
      </c>
      <c r="BE355" s="13" t="n">
        <f aca="false">Helpers!BC15</f>
        <v>0</v>
      </c>
      <c r="BF355" s="13" t="n">
        <f aca="false">Helpers!BD15</f>
        <v>0</v>
      </c>
      <c r="BG355" s="13" t="n">
        <f aca="false">Helpers!BE15</f>
        <v>0</v>
      </c>
      <c r="BH355" s="13" t="n">
        <f aca="false">Helpers!BF15</f>
        <v>0</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183</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73141594.1403182</v>
      </c>
      <c r="N356" s="30" t="n">
        <f aca="false">SUM(N348:N355)+N357</f>
        <v>69895674.0488009</v>
      </c>
      <c r="O356" s="30" t="n">
        <f aca="false">SUM(O348:O355)+O357</f>
        <v>66774208.0502672</v>
      </c>
      <c r="P356" s="30" t="n">
        <f aca="false">SUM(P348:P355)+P357</f>
        <v>63395136.8555867</v>
      </c>
      <c r="Q356" s="30" t="n">
        <f aca="false">SUM(Q348:Q355)+Q357</f>
        <v>60145035.0999223</v>
      </c>
      <c r="R356" s="30" t="n">
        <f aca="false">SUM(R348:R355)+R357</f>
        <v>56880163.3949262</v>
      </c>
      <c r="S356" s="30" t="n">
        <f aca="false">SUM(S348:S355)+S357</f>
        <v>119386978.091578</v>
      </c>
      <c r="T356" s="30" t="n">
        <f aca="false">SUM(T348:T355)+T357</f>
        <v>113693266.408726</v>
      </c>
      <c r="U356" s="30" t="n">
        <f aca="false">SUM(U348:U355)+U357</f>
        <v>108630958.092699</v>
      </c>
      <c r="V356" s="30" t="n">
        <f aca="false">SUM(V348:V355)+V357</f>
        <v>102124255.658565</v>
      </c>
      <c r="W356" s="30" t="n">
        <f aca="false">SUM(W348:W355)+W357</f>
        <v>96607782.5829324</v>
      </c>
      <c r="X356" s="30" t="n">
        <f aca="false">SUM(X348:X355)+X357</f>
        <v>89445772.6790426</v>
      </c>
      <c r="Y356" s="30" t="n">
        <f aca="false">SUM(Y348:Y355)+Y357</f>
        <v>83479181.902343</v>
      </c>
      <c r="Z356" s="30" t="n">
        <f aca="false">SUM(Z348:Z355)+Z357</f>
        <v>76352284.7104996</v>
      </c>
      <c r="AA356" s="30" t="n">
        <f aca="false">SUM(AA348:AA355)+AA357</f>
        <v>69634087.1297902</v>
      </c>
      <c r="AB356" s="30" t="n">
        <f aca="false">SUM(AB348:AB355)+AB357</f>
        <v>59661528.1912432</v>
      </c>
      <c r="AC356" s="30" t="n">
        <f aca="false">SUM(AC348:AC355)+AC357</f>
        <v>55159158.9461938</v>
      </c>
      <c r="AD356" s="30" t="n">
        <f aca="false">SUM(AD348:AD355)+AD357</f>
        <v>50447223.707067</v>
      </c>
      <c r="AE356" s="30" t="n">
        <f aca="false">SUM(AE348:AE355)+AE357</f>
        <v>45842993.8520704</v>
      </c>
      <c r="AF356" s="30" t="n">
        <f aca="false">SUM(AF348:AF355)+AF357</f>
        <v>41045129.4421855</v>
      </c>
      <c r="AG356" s="30" t="n">
        <f aca="false">SUM(AG348:AG355)+AG357</f>
        <v>35316917.3961274</v>
      </c>
      <c r="AH356" s="30" t="n">
        <f aca="false">SUM(AH348:AH355)+AH357</f>
        <v>29916794.836202</v>
      </c>
      <c r="AI356" s="30" t="n">
        <f aca="false">SUM(AI348:AI355)+AI357</f>
        <v>24741594.1091351</v>
      </c>
      <c r="AJ356" s="30" t="n">
        <f aca="false">SUM(AJ348:AJ355)+AJ357</f>
        <v>20774964.9793377</v>
      </c>
      <c r="AK356" s="30" t="n">
        <f aca="false">SUM(AK348:AK355)+AK357</f>
        <v>17213731.86939</v>
      </c>
      <c r="AL356" s="30" t="n">
        <f aca="false">SUM(AL348:AL355)+AL357</f>
        <v>14195605.80416</v>
      </c>
      <c r="AM356" s="30" t="n">
        <f aca="false">SUM(AM348:AM355)+AM357</f>
        <v>11170452.74172</v>
      </c>
      <c r="AN356" s="30" t="n">
        <f aca="false">SUM(AN348:AN355)+AN357</f>
        <v>9151447.09059</v>
      </c>
      <c r="AO356" s="30" t="n">
        <f aca="false">SUM(AO348:AO355)+AO357</f>
        <v>7578336.29955</v>
      </c>
      <c r="AP356" s="30" t="n">
        <f aca="false">SUM(AP348:AP355)+AP357</f>
        <v>6126087.78441</v>
      </c>
      <c r="AQ356" s="30" t="n">
        <f aca="false">SUM(AQ348:AQ355)+AQ357</f>
        <v>4798730.2877</v>
      </c>
      <c r="AR356" s="30" t="n">
        <f aca="false">SUM(AR348:AR355)+AR357</f>
        <v>3597576.54575</v>
      </c>
      <c r="AS356" s="30" t="n">
        <f aca="false">SUM(AS348:AS355)+AS357</f>
        <v>2521449.62254</v>
      </c>
      <c r="AT356" s="30" t="n">
        <f aca="false">SUM(AT348:AT355)+AT357</f>
        <v>1566909.24355</v>
      </c>
      <c r="AU356" s="30" t="n">
        <f aca="false">SUM(AU348:AU355)+AU357</f>
        <v>728659.196690001</v>
      </c>
      <c r="AV356" s="30" t="n">
        <f aca="false">SUM(AV348:AV355)+AV357</f>
        <v>-181.067079995155</v>
      </c>
      <c r="AW356" s="30" t="n">
        <f aca="false">SUM(AW348:AW355)+AW357</f>
        <v>0</v>
      </c>
      <c r="AX356" s="30" t="n">
        <f aca="false">SUM(AX348:AX355)+AX357</f>
        <v>0</v>
      </c>
      <c r="AY356" s="30" t="n">
        <f aca="false">SUM(AY348:AY355)+AY357</f>
        <v>0</v>
      </c>
      <c r="AZ356" s="30" t="n">
        <f aca="false">SUM(AZ348:AZ355)+AZ357</f>
        <v>0</v>
      </c>
      <c r="BA356" s="30" t="n">
        <f aca="false">SUM(BA348:BA355)+BA357</f>
        <v>0</v>
      </c>
      <c r="BB356" s="30" t="n">
        <f aca="false">SUM(BB348:BB355)+BB357</f>
        <v>0</v>
      </c>
      <c r="BC356" s="30" t="n">
        <f aca="false">SUM(BC348:BC355)+BC357</f>
        <v>0</v>
      </c>
      <c r="BD356" s="30" t="n">
        <f aca="false">SUM(BD348:BD355)+BD357</f>
        <v>0</v>
      </c>
      <c r="BE356" s="30" t="n">
        <f aca="false">SUM(BE348:BE355)+BE357</f>
        <v>0</v>
      </c>
      <c r="BF356" s="30" t="n">
        <f aca="false">SUM(BF348:BF355)+BF357</f>
        <v>0</v>
      </c>
      <c r="BG356" s="30" t="n">
        <f aca="false">SUM(BG348:BG355)+BG357</f>
        <v>0</v>
      </c>
      <c r="BH356" s="30" t="n">
        <f aca="false">SUM(BH348:BH355)+BH357</f>
        <v>0</v>
      </c>
      <c r="BI356" s="30" t="n">
        <f aca="false">SUM(BI348:BI355)+BI357</f>
        <v>0</v>
      </c>
      <c r="BJ356" s="30" t="n">
        <f aca="false">SUM(BJ348:BJ355)+BJ357</f>
        <v>0</v>
      </c>
      <c r="BK356" s="30" t="n">
        <f aca="false">SUM(BK348:BK355)+BK357</f>
        <v>0</v>
      </c>
      <c r="BL356" s="30" t="n">
        <f aca="false">SUM(BL348:BL355)+BL357</f>
        <v>0</v>
      </c>
      <c r="BM356" s="30" t="n">
        <f aca="false">SUM(BM348:BM355)+BM357</f>
        <v>0</v>
      </c>
      <c r="BN356" s="30" t="n">
        <f aca="false">SUM(BN348:BN355)+BN357</f>
        <v>0</v>
      </c>
      <c r="BO356" s="30" t="n">
        <f aca="false">SUM(BO348:BO355)+BO357</f>
        <v>0</v>
      </c>
      <c r="BP356" s="30" t="n">
        <f aca="false">SUM(BP348:BP355)+BP357</f>
        <v>0</v>
      </c>
      <c r="BQ356" s="30" t="n">
        <f aca="false">SUM(BQ348:BQ355)+BQ357</f>
        <v>0</v>
      </c>
      <c r="BR356" s="30" t="n">
        <f aca="false">SUM(BR348:BR355)+BR357</f>
        <v>0</v>
      </c>
      <c r="BS356" s="30" t="n">
        <f aca="false">SUM(BS348:BS355)+BS357</f>
        <v>0</v>
      </c>
      <c r="BT356" s="30" t="n">
        <f aca="false">SUM(BT348:BT355)+BT357</f>
        <v>0</v>
      </c>
      <c r="BU356" s="30" t="n">
        <f aca="false">SUM(BU348:BU355)+BU357</f>
        <v>0</v>
      </c>
      <c r="BV356" s="30" t="n">
        <f aca="false">SUM(BV348:BV355)+BV357</f>
        <v>0</v>
      </c>
      <c r="BW356" s="30" t="n">
        <f aca="false">SUM(BW348:BW355)+BW357</f>
        <v>0</v>
      </c>
      <c r="BX356" s="30" t="n">
        <f aca="false">SUM(BX348:BX355)+BX357</f>
        <v>0</v>
      </c>
      <c r="BY356" s="30" t="n">
        <f aca="false">SUM(BY348:BY355)+BY357</f>
        <v>0</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184</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185</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186</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187</v>
      </c>
      <c r="B361" s="13"/>
      <c r="C361" s="13"/>
      <c r="D361" s="13"/>
      <c r="E361" s="13"/>
      <c r="F361" s="13"/>
      <c r="G361" s="13"/>
      <c r="H361" s="13"/>
      <c r="I361" s="13"/>
      <c r="J361" s="13"/>
      <c r="K361" s="13" t="n">
        <f aca="false">Assumptions!B29</f>
        <v>1415971</v>
      </c>
      <c r="L361" s="13" t="n">
        <f aca="false">K369</f>
        <v>2280752.46745833</v>
      </c>
      <c r="M361" s="13" t="n">
        <f aca="false">L369</f>
        <v>2049693.79516667</v>
      </c>
      <c r="N361" s="13" t="n">
        <f aca="false">M369</f>
        <v>1970326.28</v>
      </c>
      <c r="O361" s="13" t="n">
        <f aca="false">N369</f>
        <v>796003.920414069</v>
      </c>
      <c r="P361" s="13" t="n">
        <f aca="false">O369</f>
        <v>978553.13647274</v>
      </c>
      <c r="Q361" s="13" t="n">
        <f aca="false">P369</f>
        <v>1221760.14401236</v>
      </c>
      <c r="R361" s="13" t="n">
        <f aca="false">Q369</f>
        <v>1485284.24905198</v>
      </c>
      <c r="S361" s="13" t="n">
        <f aca="false">R369</f>
        <v>1724612.0150916</v>
      </c>
      <c r="T361" s="13" t="n">
        <f aca="false">S369</f>
        <v>1870257.23997056</v>
      </c>
      <c r="U361" s="13" t="n">
        <f aca="false">T369</f>
        <v>1726108.96555287</v>
      </c>
      <c r="V361" s="13" t="n">
        <f aca="false">U369</f>
        <v>2335200.73114498</v>
      </c>
      <c r="W361" s="13" t="n">
        <f aca="false">V369</f>
        <v>2894511.4327371</v>
      </c>
      <c r="X361" s="13" t="n">
        <f aca="false">W369</f>
        <v>3504755.62232921</v>
      </c>
      <c r="Y361" s="13" t="n">
        <f aca="false">X369</f>
        <v>3835954.32092132</v>
      </c>
      <c r="Z361" s="13" t="n">
        <f aca="false">Y369</f>
        <v>4127390.89551343</v>
      </c>
      <c r="AA361" s="13" t="n">
        <f aca="false">Z369</f>
        <v>4424721.22103785</v>
      </c>
      <c r="AB361" s="13" t="n">
        <f aca="false">AA369</f>
        <v>4935323.31836997</v>
      </c>
      <c r="AC361" s="13" t="n">
        <f aca="false">AB369</f>
        <v>5359456.33940078</v>
      </c>
      <c r="AD361" s="13" t="n">
        <f aca="false">AC369</f>
        <v>5593702.34473289</v>
      </c>
      <c r="AE361" s="13" t="n">
        <f aca="false">AD369</f>
        <v>5735453.51614193</v>
      </c>
      <c r="AF361" s="13" t="n">
        <f aca="false">AE369</f>
        <v>5922190.09047404</v>
      </c>
      <c r="AG361" s="13" t="n">
        <f aca="false">AF369</f>
        <v>6218236.32518887</v>
      </c>
      <c r="AH361" s="13" t="n">
        <f aca="false">AG369</f>
        <v>6607553.53123247</v>
      </c>
      <c r="AI361" s="13" t="n">
        <f aca="false">AH369</f>
        <v>6879714.52798686</v>
      </c>
      <c r="AJ361" s="13" t="n">
        <f aca="false">AI369</f>
        <v>7015796.18727935</v>
      </c>
      <c r="AK361" s="13" t="n">
        <f aca="false">AJ369</f>
        <v>7151829.27307184</v>
      </c>
      <c r="AL361" s="13" t="n">
        <f aca="false">AK369</f>
        <v>6968248.26436434</v>
      </c>
      <c r="AM361" s="13" t="n">
        <f aca="false">AL369</f>
        <v>6951999.33026163</v>
      </c>
      <c r="AN361" s="13" t="n">
        <f aca="false">AM369</f>
        <v>6949268.42415892</v>
      </c>
      <c r="AO361" s="13" t="n">
        <f aca="false">AN369</f>
        <v>7220951.95955621</v>
      </c>
      <c r="AP361" s="13" t="n">
        <f aca="false">AO369</f>
        <v>7130320.58595351</v>
      </c>
      <c r="AQ361" s="13" t="n">
        <f aca="false">AP369</f>
        <v>7126565.82933792</v>
      </c>
      <c r="AR361" s="13" t="n">
        <f aca="false">AQ369</f>
        <v>7134713.88452156</v>
      </c>
      <c r="AS361" s="13" t="n">
        <f aca="false">AR369</f>
        <v>6904805.70372071</v>
      </c>
      <c r="AT361" s="13" t="n">
        <f aca="false">AS369</f>
        <v>6674897.52291987</v>
      </c>
      <c r="AU361" s="13" t="n">
        <f aca="false">AT369</f>
        <v>6444989.34211903</v>
      </c>
      <c r="AV361" s="13" t="n">
        <f aca="false">AU369</f>
        <v>6215081.16131818</v>
      </c>
      <c r="AW361" s="13" t="n">
        <f aca="false">AV369</f>
        <v>6244034.28660316</v>
      </c>
      <c r="AX361" s="13" t="n">
        <f aca="false">AW369</f>
        <v>6095240.40135868</v>
      </c>
      <c r="AY361" s="13" t="n">
        <f aca="false">AX369</f>
        <v>5693920.65321037</v>
      </c>
      <c r="AZ361" s="13" t="n">
        <f aca="false">AY369</f>
        <v>5292600.90506207</v>
      </c>
      <c r="BA361" s="13" t="n">
        <f aca="false">AZ369</f>
        <v>4891281.15691377</v>
      </c>
      <c r="BB361" s="13" t="n">
        <f aca="false">BA369</f>
        <v>4489961.40876546</v>
      </c>
      <c r="BC361" s="13" t="n">
        <f aca="false">BB369</f>
        <v>4088641.66061716</v>
      </c>
      <c r="BD361" s="13" t="n">
        <f aca="false">BC369</f>
        <v>3687321.91246885</v>
      </c>
      <c r="BE361" s="13" t="n">
        <f aca="false">BD369</f>
        <v>3286002.16432055</v>
      </c>
      <c r="BF361" s="13" t="n">
        <f aca="false">BE369</f>
        <v>2884682.41617225</v>
      </c>
      <c r="BG361" s="13" t="n">
        <f aca="false">BF369</f>
        <v>2483362.66802394</v>
      </c>
      <c r="BH361" s="13" t="n">
        <f aca="false">BG369</f>
        <v>2082042.91987564</v>
      </c>
      <c r="BI361" s="13" t="n">
        <f aca="false">BH369</f>
        <v>1680723.17172733</v>
      </c>
      <c r="BJ361" s="13" t="n">
        <f aca="false">BI369</f>
        <v>1079403.42357903</v>
      </c>
      <c r="BK361" s="13" t="n">
        <f aca="false">BJ369</f>
        <v>670468.28046776</v>
      </c>
      <c r="BL361" s="13" t="n">
        <f aca="false">BK369</f>
        <v>261533.13735649</v>
      </c>
      <c r="BM361" s="13" t="n">
        <f aca="false">BL369</f>
        <v>-147402.00575478</v>
      </c>
      <c r="BN361" s="13" t="n">
        <f aca="false">BM369</f>
        <v>-556337.14886605</v>
      </c>
      <c r="BO361" s="13" t="n">
        <f aca="false">BN369</f>
        <v>-965272.29197732</v>
      </c>
      <c r="BP361" s="13" t="n">
        <f aca="false">BO369</f>
        <v>-1374207.43508859</v>
      </c>
      <c r="BQ361" s="13" t="n">
        <f aca="false">BP369</f>
        <v>-1783142.57819986</v>
      </c>
      <c r="BR361" s="13" t="n">
        <f aca="false">BQ369</f>
        <v>-2192077.72131113</v>
      </c>
      <c r="BS361" s="13" t="n">
        <f aca="false">BR369</f>
        <v>-2601012.8644224</v>
      </c>
      <c r="BT361" s="13" t="n">
        <f aca="false">BS369</f>
        <v>-3009948.00753367</v>
      </c>
      <c r="BU361" s="13" t="n">
        <f aca="false">BT369</f>
        <v>-3418883.15064494</v>
      </c>
      <c r="BV361" s="13" t="n">
        <f aca="false">BU369</f>
        <v>-4027818.29375621</v>
      </c>
      <c r="BW361" s="13" t="n">
        <f aca="false">BV369</f>
        <v>-4444521.13972971</v>
      </c>
      <c r="BX361" s="13" t="n">
        <f aca="false">BW369</f>
        <v>-4861223.9857032</v>
      </c>
      <c r="BY361" s="13" t="n">
        <f aca="false">BX369</f>
        <v>-5277926.8316767</v>
      </c>
      <c r="BZ361" s="13" t="n">
        <f aca="false">BY369</f>
        <v>-5694629.67765019</v>
      </c>
      <c r="CA361" s="13" t="n">
        <f aca="false">BZ369</f>
        <v>-6111332.52362369</v>
      </c>
      <c r="CB361" s="13" t="n">
        <f aca="false">CA369</f>
        <v>-6528035.36959718</v>
      </c>
      <c r="CC361" s="13" t="n">
        <f aca="false">CB369</f>
        <v>-6944738.21557068</v>
      </c>
      <c r="CD361" s="13" t="n">
        <f aca="false">CC369</f>
        <v>-7361441.06154417</v>
      </c>
      <c r="CE361" s="13" t="n">
        <f aca="false">CD369</f>
        <v>-7778143.90751767</v>
      </c>
      <c r="CF361" s="13" t="n">
        <f aca="false">CE369</f>
        <v>-8194846.75349116</v>
      </c>
      <c r="CG361" s="13" t="n">
        <f aca="false">CF369</f>
        <v>-8611549.59946466</v>
      </c>
      <c r="CH361" s="13" t="n">
        <f aca="false">CG369</f>
        <v>-9228252.44543816</v>
      </c>
      <c r="CI361" s="13" t="n">
        <f aca="false">CH369</f>
        <v>-9652878.34833112</v>
      </c>
      <c r="CJ361" s="13" t="n">
        <f aca="false">CI369</f>
        <v>-10077504.2512241</v>
      </c>
      <c r="CK361" s="13" t="n">
        <f aca="false">CJ369</f>
        <v>-10502130.1541171</v>
      </c>
      <c r="CL361" s="13" t="n">
        <f aca="false">CK369</f>
        <v>-10926756.05701</v>
      </c>
      <c r="CM361" s="13" t="n">
        <f aca="false">CL369</f>
        <v>-11351381.959903</v>
      </c>
      <c r="CN361" s="13" t="n">
        <f aca="false">CM369</f>
        <v>-11776007.862796</v>
      </c>
      <c r="CO361" s="13" t="n">
        <f aca="false">CN369</f>
        <v>-12200633.7656889</v>
      </c>
      <c r="CP361" s="13" t="n">
        <f aca="false">CO369</f>
        <v>-12625259.6685819</v>
      </c>
      <c r="CQ361" s="13" t="n">
        <f aca="false">CP369</f>
        <v>-13049885.5714748</v>
      </c>
      <c r="CR361" s="13" t="n">
        <f aca="false">CQ369</f>
        <v>-13474511.4743678</v>
      </c>
      <c r="CS361" s="13" t="n">
        <f aca="false">CR369</f>
        <v>-13899137.3772608</v>
      </c>
      <c r="CT361" s="13" t="n">
        <f aca="false">CS369</f>
        <v>-14523763.2801537</v>
      </c>
      <c r="CU361" s="13" t="n">
        <f aca="false">CT369</f>
        <v>-14915928.5932369</v>
      </c>
      <c r="CV361" s="13" t="n">
        <f aca="false">CU369</f>
        <v>-15308093.90632</v>
      </c>
      <c r="CW361" s="13" t="n">
        <f aca="false">CV369</f>
        <v>-15700259.2194032</v>
      </c>
      <c r="CX361" s="13" t="n">
        <f aca="false">CW369</f>
        <v>-16092424.5324864</v>
      </c>
      <c r="CY361" s="13" t="n">
        <f aca="false">CX369</f>
        <v>-16484589.8455695</v>
      </c>
      <c r="CZ361" s="13" t="n">
        <f aca="false">CY369</f>
        <v>-16876755.1586527</v>
      </c>
      <c r="DA361" s="13" t="n">
        <f aca="false">CZ369</f>
        <v>-17268920.4717358</v>
      </c>
      <c r="DB361" s="13" t="n">
        <f aca="false">DA369</f>
        <v>-17661085.784819</v>
      </c>
      <c r="DC361" s="13" t="n">
        <f aca="false">DB369</f>
        <v>-18053251.0979021</v>
      </c>
      <c r="DD361" s="13" t="n">
        <f aca="false">DC369</f>
        <v>-18445416.4109853</v>
      </c>
      <c r="DE361" s="13" t="n">
        <f aca="false">DD369</f>
        <v>-18837581.7240684</v>
      </c>
    </row>
    <row r="362" customFormat="false" ht="15" hidden="false" customHeight="true" outlineLevel="0" collapsed="false">
      <c r="A362" s="22" t="s">
        <v>188</v>
      </c>
      <c r="B362" s="13"/>
      <c r="C362" s="13"/>
      <c r="D362" s="13"/>
      <c r="E362" s="13"/>
      <c r="F362" s="13"/>
      <c r="G362" s="13"/>
      <c r="H362" s="13"/>
      <c r="I362" s="13"/>
      <c r="J362" s="13"/>
      <c r="K362" s="13" t="n">
        <f aca="false">K237</f>
        <v>-287788.996791666</v>
      </c>
      <c r="L362" s="13" t="n">
        <f aca="false">L237</f>
        <v>52159.3503333338</v>
      </c>
      <c r="M362" s="13" t="n">
        <f aca="false">M237</f>
        <v>35166.2903333338</v>
      </c>
      <c r="N362" s="13" t="n">
        <f aca="false">N237</f>
        <v>240471.06871865</v>
      </c>
      <c r="O362" s="13" t="n">
        <f aca="false">O237</f>
        <v>248763.335199601</v>
      </c>
      <c r="P362" s="13" t="n">
        <f aca="false">P237</f>
        <v>300112.9551996</v>
      </c>
      <c r="Q362" s="13" t="n">
        <f aca="false">Q237</f>
        <v>274669.6551996</v>
      </c>
      <c r="R362" s="13" t="n">
        <f aca="false">R237</f>
        <v>261274.945199597</v>
      </c>
      <c r="S362" s="13" t="n">
        <f aca="false">S237</f>
        <v>-132971.361097051</v>
      </c>
      <c r="T362" s="13" t="n">
        <f aca="false">T237</f>
        <v>576952.61841275</v>
      </c>
      <c r="U362" s="13" t="n">
        <f aca="false">U237</f>
        <v>473250.558412751</v>
      </c>
      <c r="V362" s="13" t="n">
        <f aca="false">V237</f>
        <v>559121.828412749</v>
      </c>
      <c r="W362" s="13" t="n">
        <f aca="false">W237</f>
        <v>379966.998412748</v>
      </c>
      <c r="X362" s="13" t="n">
        <f aca="false">X237</f>
        <v>530630.958412751</v>
      </c>
      <c r="Y362" s="13" t="n">
        <f aca="false">Y237</f>
        <v>147104.03841275</v>
      </c>
      <c r="Z362" s="13" t="n">
        <f aca="false">Z237</f>
        <v>441837.339345058</v>
      </c>
      <c r="AA362" s="13" t="n">
        <f aca="false">AA237</f>
        <v>373978.091652748</v>
      </c>
      <c r="AB362" s="13" t="n">
        <f aca="false">AB237</f>
        <v>240883.169729673</v>
      </c>
      <c r="AC362" s="13" t="n">
        <f aca="false">AC237</f>
        <v>166569.406652753</v>
      </c>
      <c r="AD362" s="13" t="n">
        <f aca="false">AD237</f>
        <v>194174.794729674</v>
      </c>
      <c r="AE362" s="13" t="n">
        <f aca="false">AE237</f>
        <v>207181.551652747</v>
      </c>
      <c r="AF362" s="13" t="n">
        <f aca="false">AF237</f>
        <v>365565.678371402</v>
      </c>
      <c r="AG362" s="13" t="n">
        <f aca="false">AG237</f>
        <v>298965.18141505</v>
      </c>
      <c r="AH362" s="13" t="n">
        <f aca="false">AH237</f>
        <v>162629.698453149</v>
      </c>
      <c r="AI362" s="13" t="n">
        <f aca="false">AI237</f>
        <v>156565.988453155</v>
      </c>
      <c r="AJ362" s="13" t="n">
        <f aca="false">AJ237</f>
        <v>35992.0584531465</v>
      </c>
      <c r="AK362" s="13" t="n">
        <f aca="false">AK237</f>
        <v>-188597.65154685</v>
      </c>
      <c r="AL362" s="13" t="n">
        <f aca="false">AL237</f>
        <v>18153.3785579512</v>
      </c>
      <c r="AM362" s="13" t="n">
        <f aca="false">AM237</f>
        <v>29836.4185579489</v>
      </c>
      <c r="AN362" s="13" t="n">
        <f aca="false">AN237</f>
        <v>-76831.0914420523</v>
      </c>
      <c r="AO362" s="13" t="n">
        <f aca="false">AO237</f>
        <v>-116091.83144205</v>
      </c>
      <c r="AP362" s="13" t="n">
        <f aca="false">AP237</f>
        <v>16776.7653864976</v>
      </c>
      <c r="AQ362" s="13" t="n">
        <f aca="false">AQ237</f>
        <v>-221279.470597983</v>
      </c>
      <c r="AR362" s="13" t="n">
        <f aca="false">AR237</f>
        <v>-221279.470597983</v>
      </c>
      <c r="AS362" s="13" t="n">
        <f aca="false">AS237</f>
        <v>-221279.470597983</v>
      </c>
      <c r="AT362" s="13" t="n">
        <f aca="false">AT237</f>
        <v>-221279.470597983</v>
      </c>
      <c r="AU362" s="13" t="n">
        <f aca="false">AU237</f>
        <v>-221279.470597983</v>
      </c>
      <c r="AV362" s="13" t="n">
        <f aca="false">AV237</f>
        <v>51206.1147555166</v>
      </c>
      <c r="AW362" s="13" t="n">
        <f aca="false">AW237</f>
        <v>-593853.6746552</v>
      </c>
      <c r="AX362" s="13" t="n">
        <f aca="false">AX237</f>
        <v>-401319.748148304</v>
      </c>
      <c r="AY362" s="13" t="n">
        <f aca="false">AY237</f>
        <v>-401319.748148304</v>
      </c>
      <c r="AZ362" s="13" t="n">
        <f aca="false">AZ237</f>
        <v>-401319.748148304</v>
      </c>
      <c r="BA362" s="13" t="n">
        <f aca="false">BA237</f>
        <v>-401319.748148304</v>
      </c>
      <c r="BB362" s="13" t="n">
        <f aca="false">BB237</f>
        <v>-401319.748148304</v>
      </c>
      <c r="BC362" s="13" t="n">
        <f aca="false">BC237</f>
        <v>-401319.748148304</v>
      </c>
      <c r="BD362" s="13" t="n">
        <f aca="false">BD237</f>
        <v>-401319.748148304</v>
      </c>
      <c r="BE362" s="13" t="n">
        <f aca="false">BE237</f>
        <v>-401319.748148304</v>
      </c>
      <c r="BF362" s="13" t="n">
        <f aca="false">BF237</f>
        <v>-401319.748148304</v>
      </c>
      <c r="BG362" s="13" t="n">
        <f aca="false">BG237</f>
        <v>-401319.748148304</v>
      </c>
      <c r="BH362" s="13" t="n">
        <f aca="false">BH237</f>
        <v>-401319.748148304</v>
      </c>
      <c r="BI362" s="13" t="n">
        <f aca="false">BI237</f>
        <v>-601319.748148304</v>
      </c>
      <c r="BJ362" s="13" t="n">
        <f aca="false">BJ237</f>
        <v>-408935.14311127</v>
      </c>
      <c r="BK362" s="13" t="n">
        <f aca="false">BK237</f>
        <v>-408935.14311127</v>
      </c>
      <c r="BL362" s="13" t="n">
        <f aca="false">BL237</f>
        <v>-408935.14311127</v>
      </c>
      <c r="BM362" s="13" t="n">
        <f aca="false">BM237</f>
        <v>-408935.14311127</v>
      </c>
      <c r="BN362" s="13" t="n">
        <f aca="false">BN237</f>
        <v>-408935.14311127</v>
      </c>
      <c r="BO362" s="13" t="n">
        <f aca="false">BO237</f>
        <v>-408935.14311127</v>
      </c>
      <c r="BP362" s="13" t="n">
        <f aca="false">BP237</f>
        <v>-408935.14311127</v>
      </c>
      <c r="BQ362" s="13" t="n">
        <f aca="false">BQ237</f>
        <v>-408935.14311127</v>
      </c>
      <c r="BR362" s="13" t="n">
        <f aca="false">BR237</f>
        <v>-408935.14311127</v>
      </c>
      <c r="BS362" s="13" t="n">
        <f aca="false">BS237</f>
        <v>-408935.14311127</v>
      </c>
      <c r="BT362" s="13" t="n">
        <f aca="false">BT237</f>
        <v>-408935.14311127</v>
      </c>
      <c r="BU362" s="13" t="n">
        <f aca="false">BU237</f>
        <v>-608935.14311127</v>
      </c>
      <c r="BV362" s="13" t="n">
        <f aca="false">BV237</f>
        <v>-416702.845973495</v>
      </c>
      <c r="BW362" s="13" t="n">
        <f aca="false">BW237</f>
        <v>-416702.845973495</v>
      </c>
      <c r="BX362" s="13" t="n">
        <f aca="false">BX237</f>
        <v>-416702.845973495</v>
      </c>
      <c r="BY362" s="13" t="n">
        <f aca="false">BY237</f>
        <v>-416702.845973495</v>
      </c>
      <c r="BZ362" s="13" t="n">
        <f aca="false">BZ237</f>
        <v>-416702.845973495</v>
      </c>
      <c r="CA362" s="13" t="n">
        <f aca="false">CA237</f>
        <v>-416702.845973495</v>
      </c>
      <c r="CB362" s="13" t="n">
        <f aca="false">CB237</f>
        <v>-416702.845973495</v>
      </c>
      <c r="CC362" s="13" t="n">
        <f aca="false">CC237</f>
        <v>-416702.845973495</v>
      </c>
      <c r="CD362" s="13" t="n">
        <f aca="false">CD237</f>
        <v>-416702.845973495</v>
      </c>
      <c r="CE362" s="13" t="n">
        <f aca="false">CE237</f>
        <v>-416702.845973495</v>
      </c>
      <c r="CF362" s="13" t="n">
        <f aca="false">CF237</f>
        <v>-416702.845973495</v>
      </c>
      <c r="CG362" s="13" t="n">
        <f aca="false">CG237</f>
        <v>-616702.845973496</v>
      </c>
      <c r="CH362" s="13" t="n">
        <f aca="false">CH237</f>
        <v>-424625.902892965</v>
      </c>
      <c r="CI362" s="13" t="n">
        <f aca="false">CI237</f>
        <v>-424625.902892965</v>
      </c>
      <c r="CJ362" s="13" t="n">
        <f aca="false">CJ237</f>
        <v>-424625.902892965</v>
      </c>
      <c r="CK362" s="13" t="n">
        <f aca="false">CK237</f>
        <v>-424625.902892965</v>
      </c>
      <c r="CL362" s="13" t="n">
        <f aca="false">CL237</f>
        <v>-424625.902892965</v>
      </c>
      <c r="CM362" s="13" t="n">
        <f aca="false">CM237</f>
        <v>-424625.902892965</v>
      </c>
      <c r="CN362" s="13" t="n">
        <f aca="false">CN237</f>
        <v>-424625.902892965</v>
      </c>
      <c r="CO362" s="13" t="n">
        <f aca="false">CO237</f>
        <v>-424625.902892965</v>
      </c>
      <c r="CP362" s="13" t="n">
        <f aca="false">CP237</f>
        <v>-424625.902892965</v>
      </c>
      <c r="CQ362" s="13" t="n">
        <f aca="false">CQ237</f>
        <v>-424625.902892965</v>
      </c>
      <c r="CR362" s="13" t="n">
        <f aca="false">CR237</f>
        <v>-424625.902892965</v>
      </c>
      <c r="CS362" s="13" t="n">
        <f aca="false">CS237</f>
        <v>-624625.902892966</v>
      </c>
      <c r="CT362" s="13" t="n">
        <f aca="false">CT237</f>
        <v>-392165.313083151</v>
      </c>
      <c r="CU362" s="13" t="n">
        <f aca="false">CU237</f>
        <v>-392165.313083151</v>
      </c>
      <c r="CV362" s="13" t="n">
        <f aca="false">CV237</f>
        <v>-392165.313083151</v>
      </c>
      <c r="CW362" s="13" t="n">
        <f aca="false">CW237</f>
        <v>-392165.313083151</v>
      </c>
      <c r="CX362" s="13" t="n">
        <f aca="false">CX237</f>
        <v>-392165.313083151</v>
      </c>
      <c r="CY362" s="13" t="n">
        <f aca="false">CY237</f>
        <v>-392165.313083151</v>
      </c>
      <c r="CZ362" s="13" t="n">
        <f aca="false">CZ237</f>
        <v>-392165.313083151</v>
      </c>
      <c r="DA362" s="13" t="n">
        <f aca="false">DA237</f>
        <v>-392165.313083151</v>
      </c>
      <c r="DB362" s="13" t="n">
        <f aca="false">DB237</f>
        <v>-392165.313083151</v>
      </c>
      <c r="DC362" s="13" t="n">
        <f aca="false">DC237</f>
        <v>-392165.313083151</v>
      </c>
      <c r="DD362" s="13" t="n">
        <f aca="false">DD237</f>
        <v>-392165.313083151</v>
      </c>
      <c r="DE362" s="13" t="n">
        <f aca="false">DE237</f>
        <v>-592165.313083151</v>
      </c>
    </row>
    <row r="363" customFormat="false" ht="15" hidden="false" customHeight="true" outlineLevel="0" collapsed="false">
      <c r="A363" s="22" t="s">
        <v>189</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190</v>
      </c>
      <c r="B364" s="13"/>
      <c r="C364" s="13"/>
      <c r="D364" s="13"/>
      <c r="E364" s="13"/>
      <c r="F364" s="13"/>
      <c r="G364" s="13"/>
      <c r="H364" s="13"/>
      <c r="I364" s="13"/>
      <c r="J364" s="13"/>
      <c r="K364" s="13" t="n">
        <f aca="false">-9427488+'Bonding Program'!$H$8+IF(K$3='Bonding Program'!$H$9,-'Bonding Program'!$H$7,0)+IF(K$3='Bonding Program'!$H$19,'Bonding Program'!$H$5,0)-IF(K$3='Bonding Program'!$H$9,'Bonding Program'!$H$5,0)</f>
        <v>-8172652.632875</v>
      </c>
      <c r="L364" s="13" t="n">
        <f aca="false">IF(L$3='Bonding Program'!$H$9,-'Bonding Program'!$H$7,0)+IF(L$3='Bonding Program'!$H$19,'Bonding Program'!$H$5,0)-IF(L$3='Bonding Program'!$H$9,'Bonding Program'!$H$5,0)</f>
        <v>0</v>
      </c>
      <c r="M364" s="13" t="n">
        <f aca="false">IF(M$3='Bonding Program'!$H$9,-'Bonding Program'!$H$7,0)+IF(M$3='Bonding Program'!$H$19,'Bonding Program'!$H$5,0)-IF(M$3='Bonding Program'!$H$9,'Bonding Program'!$H$5,0)</f>
        <v>0</v>
      </c>
      <c r="N364" s="13" t="n">
        <f aca="false">IF(N$3='Bonding Program'!$H$9,-'Bonding Program'!$H$7,0)+IF(N$3='Bonding Program'!$H$19,'Bonding Program'!$H$5,0)-IF(N$3='Bonding Program'!$H$9,'Bonding Program'!$H$5,0)</f>
        <v>-1254835.37225</v>
      </c>
      <c r="O364" s="13" t="n">
        <f aca="false">IF(O$3='Bonding Program'!$H$9,-'Bonding Program'!$H$7,0)+IF(O$3='Bonding Program'!$H$19,'Bonding Program'!$H$5,0)-IF(O$3='Bonding Program'!$H$9,'Bonding Program'!$H$5,0)</f>
        <v>0</v>
      </c>
      <c r="P364" s="13" t="n">
        <f aca="false">IF(P$3='Bonding Program'!$H$9,-'Bonding Program'!$H$7,0)+IF(P$3='Bonding Program'!$H$19,'Bonding Program'!$H$5,0)-IF(P$3='Bonding Program'!$H$9,'Bonding Program'!$H$5,0)</f>
        <v>0</v>
      </c>
      <c r="Q364" s="13" t="n">
        <f aca="false">IF(Q$3='Bonding Program'!$H$9,-'Bonding Program'!$H$7,0)+IF(Q$3='Bonding Program'!$H$19,'Bonding Program'!$H$5,0)-IF(Q$3='Bonding Program'!$H$9,'Bonding Program'!$H$5,0)</f>
        <v>0</v>
      </c>
      <c r="R364" s="13" t="n">
        <f aca="false">IF(R$3='Bonding Program'!$H$9,-'Bonding Program'!$H$7,0)+IF(R$3='Bonding Program'!$H$19,'Bonding Program'!$H$5,0)-IF(R$3='Bonding Program'!$H$9,'Bonding Program'!$H$5,0)</f>
        <v>0</v>
      </c>
      <c r="S364" s="13" t="n">
        <f aca="false">IF(S$3='Bonding Program'!$H$9,-'Bonding Program'!$H$7,0)+IF(S$3='Bonding Program'!$H$19,'Bonding Program'!$H$5,0)-IF(S$3='Bonding Program'!$H$9,'Bonding Program'!$H$5,0)</f>
        <v>0</v>
      </c>
      <c r="T364" s="13" t="n">
        <f aca="false">IF(T$3='Bonding Program'!$H$9,-'Bonding Program'!$H$7,0)+IF(T$3='Bonding Program'!$H$19,'Bonding Program'!$H$5,0)-IF(T$3='Bonding Program'!$H$9,'Bonding Program'!$H$5,0)</f>
        <v>0</v>
      </c>
      <c r="U364" s="13" t="n">
        <f aca="false">IF(U$3='Bonding Program'!$H$9,-'Bonding Program'!$H$7,0)+IF(U$3='Bonding Program'!$H$19,'Bonding Program'!$H$5,0)-IF(U$3='Bonding Program'!$H$9,'Bonding Program'!$H$5,0)</f>
        <v>0</v>
      </c>
      <c r="V364" s="13" t="n">
        <f aca="false">IF(V$3='Bonding Program'!$H$9,-'Bonding Program'!$H$7,0)+IF(V$3='Bonding Program'!$H$19,'Bonding Program'!$H$5,0)-IF(V$3='Bonding Program'!$H$9,'Bonding Program'!$H$5,0)</f>
        <v>0</v>
      </c>
      <c r="W364" s="13" t="n">
        <f aca="false">IF(W$3='Bonding Program'!$H$9,-'Bonding Program'!$H$7,0)+IF(W$3='Bonding Program'!$H$19,'Bonding Program'!$H$5,0)-IF(W$3='Bonding Program'!$H$9,'Bonding Program'!$H$5,0)</f>
        <v>0</v>
      </c>
      <c r="X364" s="13" t="n">
        <f aca="false">IF(X$3='Bonding Program'!$H$9,-'Bonding Program'!$H$7,0)+IF(X$3='Bonding Program'!$H$19,'Bonding Program'!$H$5,0)-IF(X$3='Bonding Program'!$H$9,'Bonding Program'!$H$5,0)</f>
        <v>0</v>
      </c>
      <c r="Y364" s="13" t="n">
        <f aca="false">IF(Y$3='Bonding Program'!$H$9,-'Bonding Program'!$H$7,0)+IF(Y$3='Bonding Program'!$H$19,'Bonding Program'!$H$5,0)-IF(Y$3='Bonding Program'!$H$9,'Bonding Program'!$H$5,0)</f>
        <v>0</v>
      </c>
      <c r="Z364" s="13" t="n">
        <f aca="false">IF(Z$3='Bonding Program'!$H$9,-'Bonding Program'!$H$7,0)+IF(Z$3='Bonding Program'!$H$19,'Bonding Program'!$H$5,0)-IF(Z$3='Bonding Program'!$H$9,'Bonding Program'!$H$5,0)</f>
        <v>0</v>
      </c>
      <c r="AA364" s="13" t="n">
        <f aca="false">IF(AA$3='Bonding Program'!$H$9,-'Bonding Program'!$H$7,0)+IF(AA$3='Bonding Program'!$H$19,'Bonding Program'!$H$5,0)-IF(AA$3='Bonding Program'!$H$9,'Bonding Program'!$H$5,0)</f>
        <v>0</v>
      </c>
      <c r="AB364" s="13" t="n">
        <f aca="false">IF(AB$3='Bonding Program'!$H$9,-'Bonding Program'!$H$7,0)+IF(AB$3='Bonding Program'!$H$19,'Bonding Program'!$H$5,0)-IF(AB$3='Bonding Program'!$H$9,'Bonding Program'!$H$5,0)</f>
        <v>0</v>
      </c>
      <c r="AC364" s="13" t="n">
        <f aca="false">IF(AC$3='Bonding Program'!$H$9,-'Bonding Program'!$H$7,0)+IF(AC$3='Bonding Program'!$H$19,'Bonding Program'!$H$5,0)-IF(AC$3='Bonding Program'!$H$9,'Bonding Program'!$H$5,0)</f>
        <v>0</v>
      </c>
      <c r="AD364" s="13" t="n">
        <f aca="false">IF(AD$3='Bonding Program'!$H$9,-'Bonding Program'!$H$7,0)+IF(AD$3='Bonding Program'!$H$19,'Bonding Program'!$H$5,0)-IF(AD$3='Bonding Program'!$H$9,'Bonding Program'!$H$5,0)</f>
        <v>0</v>
      </c>
      <c r="AE364" s="13" t="n">
        <f aca="false">IF(AE$3='Bonding Program'!$H$9,-'Bonding Program'!$H$7,0)+IF(AE$3='Bonding Program'!$H$19,'Bonding Program'!$H$5,0)-IF(AE$3='Bonding Program'!$H$9,'Bonding Program'!$H$5,0)</f>
        <v>0</v>
      </c>
      <c r="AF364" s="13" t="n">
        <f aca="false">IF(AF$3='Bonding Program'!$H$9,-'Bonding Program'!$H$7,0)+IF(AF$3='Bonding Program'!$H$19,'Bonding Program'!$H$5,0)-IF(AF$3='Bonding Program'!$H$9,'Bonding Program'!$H$5,0)</f>
        <v>0</v>
      </c>
      <c r="AG364" s="13" t="n">
        <f aca="false">IF(AG$3='Bonding Program'!$H$9,-'Bonding Program'!$H$7,0)+IF(AG$3='Bonding Program'!$H$19,'Bonding Program'!$H$5,0)-IF(AG$3='Bonding Program'!$H$9,'Bonding Program'!$H$5,0)</f>
        <v>0</v>
      </c>
      <c r="AH364" s="13" t="n">
        <f aca="false">IF(AH$3='Bonding Program'!$H$9,-'Bonding Program'!$H$7,0)+IF(AH$3='Bonding Program'!$H$19,'Bonding Program'!$H$5,0)-IF(AH$3='Bonding Program'!$H$9,'Bonding Program'!$H$5,0)</f>
        <v>0</v>
      </c>
      <c r="AI364" s="13" t="n">
        <f aca="false">IF(AI$3='Bonding Program'!$H$9,-'Bonding Program'!$H$7,0)+IF(AI$3='Bonding Program'!$H$19,'Bonding Program'!$H$5,0)-IF(AI$3='Bonding Program'!$H$9,'Bonding Program'!$H$5,0)</f>
        <v>0</v>
      </c>
      <c r="AJ364" s="13" t="n">
        <f aca="false">IF(AJ$3='Bonding Program'!$H$9,-'Bonding Program'!$H$7,0)+IF(AJ$3='Bonding Program'!$H$19,'Bonding Program'!$H$5,0)-IF(AJ$3='Bonding Program'!$H$9,'Bonding Program'!$H$5,0)</f>
        <v>0</v>
      </c>
      <c r="AK364" s="13" t="n">
        <f aca="false">IF(AK$3='Bonding Program'!$H$9,-'Bonding Program'!$H$7,0)+IF(AK$3='Bonding Program'!$H$19,'Bonding Program'!$H$5,0)-IF(AK$3='Bonding Program'!$H$9,'Bonding Program'!$H$5,0)</f>
        <v>0</v>
      </c>
      <c r="AL364" s="13" t="n">
        <f aca="false">IF(AL$3='Bonding Program'!$H$9,-'Bonding Program'!$H$7,0)+IF(AL$3='Bonding Program'!$H$19,'Bonding Program'!$H$5,0)-IF(AL$3='Bonding Program'!$H$9,'Bonding Program'!$H$5,0)</f>
        <v>0</v>
      </c>
      <c r="AM364" s="13" t="n">
        <f aca="false">IF(AM$3='Bonding Program'!$H$9,-'Bonding Program'!$H$7,0)+IF(AM$3='Bonding Program'!$H$19,'Bonding Program'!$H$5,0)-IF(AM$3='Bonding Program'!$H$9,'Bonding Program'!$H$5,0)</f>
        <v>0</v>
      </c>
      <c r="AN364" s="13" t="n">
        <f aca="false">IF(AN$3='Bonding Program'!$H$9,-'Bonding Program'!$H$7,0)+IF(AN$3='Bonding Program'!$H$19,'Bonding Program'!$H$5,0)-IF(AN$3='Bonding Program'!$H$9,'Bonding Program'!$H$5,0)</f>
        <v>0</v>
      </c>
      <c r="AO364" s="13" t="n">
        <f aca="false">IF(AO$3='Bonding Program'!$H$9,-'Bonding Program'!$H$7,0)+IF(AO$3='Bonding Program'!$H$19,'Bonding Program'!$H$5,0)-IF(AO$3='Bonding Program'!$H$9,'Bonding Program'!$H$5,0)</f>
        <v>0</v>
      </c>
      <c r="AP364" s="13" t="n">
        <f aca="false">IF(AP$3='Bonding Program'!$H$9,-'Bonding Program'!$H$7,0)+IF(AP$3='Bonding Program'!$H$19,'Bonding Program'!$H$5,0)-IF(AP$3='Bonding Program'!$H$9,'Bonding Program'!$H$5,0)</f>
        <v>0</v>
      </c>
      <c r="AQ364" s="13" t="n">
        <f aca="false">IF(AQ$3='Bonding Program'!$H$9,-'Bonding Program'!$H$7,0)+IF(AQ$3='Bonding Program'!$H$19,'Bonding Program'!$H$5,0)-IF(AQ$3='Bonding Program'!$H$9,'Bonding Program'!$H$5,0)</f>
        <v>0</v>
      </c>
      <c r="AR364" s="13" t="n">
        <f aca="false">IF(AR$3='Bonding Program'!$H$9,-'Bonding Program'!$H$7,0)+IF(AR$3='Bonding Program'!$H$19,'Bonding Program'!$H$5,0)-IF(AR$3='Bonding Program'!$H$9,'Bonding Program'!$H$5,0)</f>
        <v>0</v>
      </c>
      <c r="AS364" s="13" t="n">
        <f aca="false">IF(AS$3='Bonding Program'!$H$9,-'Bonding Program'!$H$7,0)+IF(AS$3='Bonding Program'!$H$19,'Bonding Program'!$H$5,0)-IF(AS$3='Bonding Program'!$H$9,'Bonding Program'!$H$5,0)</f>
        <v>0</v>
      </c>
      <c r="AT364" s="13" t="n">
        <f aca="false">IF(AT$3='Bonding Program'!$H$9,-'Bonding Program'!$H$7,0)+IF(AT$3='Bonding Program'!$H$19,'Bonding Program'!$H$5,0)-IF(AT$3='Bonding Program'!$H$9,'Bonding Program'!$H$5,0)</f>
        <v>0</v>
      </c>
      <c r="AU364" s="13" t="n">
        <f aca="false">IF(AU$3='Bonding Program'!$H$9,-'Bonding Program'!$H$7,0)+IF(AU$3='Bonding Program'!$H$19,'Bonding Program'!$H$5,0)-IF(AU$3='Bonding Program'!$H$9,'Bonding Program'!$H$5,0)</f>
        <v>0</v>
      </c>
      <c r="AV364" s="13" t="n">
        <f aca="false">IF(AV$3='Bonding Program'!$H$9,-'Bonding Program'!$H$7,0)+IF(AV$3='Bonding Program'!$H$19,'Bonding Program'!$H$5,0)-IF(AV$3='Bonding Program'!$H$9,'Bonding Program'!$H$5,0)</f>
        <v>0</v>
      </c>
      <c r="AW364" s="13" t="n">
        <f aca="false">IF(AW$3='Bonding Program'!$H$9,-'Bonding Program'!$H$7,0)+IF(AW$3='Bonding Program'!$H$19,'Bonding Program'!$H$5,0)-IF(AW$3='Bonding Program'!$H$9,'Bonding Program'!$H$5,0)</f>
        <v>0</v>
      </c>
      <c r="AX364" s="13" t="n">
        <f aca="false">IF(AX$3='Bonding Program'!$H$9,-'Bonding Program'!$H$7,0)+IF(AX$3='Bonding Program'!$H$19,'Bonding Program'!$H$5,0)-IF(AX$3='Bonding Program'!$H$9,'Bonding Program'!$H$5,0)</f>
        <v>0</v>
      </c>
      <c r="AY364" s="13" t="n">
        <f aca="false">IF(AY$3='Bonding Program'!$H$9,-'Bonding Program'!$H$7,0)+IF(AY$3='Bonding Program'!$H$19,'Bonding Program'!$H$5,0)-IF(AY$3='Bonding Program'!$H$9,'Bonding Program'!$H$5,0)</f>
        <v>0</v>
      </c>
      <c r="AZ364" s="13" t="n">
        <f aca="false">IF(AZ$3='Bonding Program'!$H$9,-'Bonding Program'!$H$7,0)+IF(AZ$3='Bonding Program'!$H$19,'Bonding Program'!$H$5,0)-IF(AZ$3='Bonding Program'!$H$9,'Bonding Program'!$H$5,0)</f>
        <v>0</v>
      </c>
      <c r="BA364" s="13" t="n">
        <f aca="false">IF(BA$3='Bonding Program'!$H$9,-'Bonding Program'!$H$7,0)+IF(BA$3='Bonding Program'!$H$19,'Bonding Program'!$H$5,0)-IF(BA$3='Bonding Program'!$H$9,'Bonding Program'!$H$5,0)</f>
        <v>0</v>
      </c>
      <c r="BB364" s="13" t="n">
        <f aca="false">IF(BB$3='Bonding Program'!$H$9,-'Bonding Program'!$H$7,0)+IF(BB$3='Bonding Program'!$H$19,'Bonding Program'!$H$5,0)-IF(BB$3='Bonding Program'!$H$9,'Bonding Program'!$H$5,0)</f>
        <v>0</v>
      </c>
      <c r="BC364" s="13" t="n">
        <f aca="false">IF(BC$3='Bonding Program'!$H$9,-'Bonding Program'!$H$7,0)+IF(BC$3='Bonding Program'!$H$19,'Bonding Program'!$H$5,0)-IF(BC$3='Bonding Program'!$H$9,'Bonding Program'!$H$5,0)</f>
        <v>0</v>
      </c>
      <c r="BD364" s="13" t="n">
        <f aca="false">IF(BD$3='Bonding Program'!$H$9,-'Bonding Program'!$H$7,0)+IF(BD$3='Bonding Program'!$H$19,'Bonding Program'!$H$5,0)-IF(BD$3='Bonding Program'!$H$9,'Bonding Program'!$H$5,0)</f>
        <v>0</v>
      </c>
      <c r="BE364" s="13" t="n">
        <f aca="false">IF(BE$3='Bonding Program'!$H$9,-'Bonding Program'!$H$7,0)+IF(BE$3='Bonding Program'!$H$19,'Bonding Program'!$H$5,0)-IF(BE$3='Bonding Program'!$H$9,'Bonding Program'!$H$5,0)</f>
        <v>0</v>
      </c>
      <c r="BF364" s="13" t="n">
        <f aca="false">IF(BF$3='Bonding Program'!$H$9,-'Bonding Program'!$H$7,0)+IF(BF$3='Bonding Program'!$H$19,'Bonding Program'!$H$5,0)-IF(BF$3='Bonding Program'!$H$9,'Bonding Program'!$H$5,0)</f>
        <v>0</v>
      </c>
      <c r="BG364" s="13" t="n">
        <f aca="false">IF(BG$3='Bonding Program'!$H$9,-'Bonding Program'!$H$7,0)+IF(BG$3='Bonding Program'!$H$19,'Bonding Program'!$H$5,0)-IF(BG$3='Bonding Program'!$H$9,'Bonding Program'!$H$5,0)</f>
        <v>0</v>
      </c>
      <c r="BH364" s="13" t="n">
        <f aca="false">IF(BH$3='Bonding Program'!$H$9,-'Bonding Program'!$H$7,0)+IF(BH$3='Bonding Program'!$H$19,'Bonding Program'!$H$5,0)-IF(BH$3='Bonding Program'!$H$9,'Bonding Program'!$H$5,0)</f>
        <v>0</v>
      </c>
      <c r="BI364" s="13" t="n">
        <f aca="false">IF(BI$3='Bonding Program'!$H$9,-'Bonding Program'!$H$7,0)+IF(BI$3='Bonding Program'!$H$19,'Bonding Program'!$H$5,0)-IF(BI$3='Bonding Program'!$H$9,'Bonding Program'!$H$5,0)</f>
        <v>0</v>
      </c>
      <c r="BJ364" s="13" t="n">
        <f aca="false">IF(BJ$3='Bonding Program'!$H$9,-'Bonding Program'!$H$7,0)+IF(BJ$3='Bonding Program'!$H$19,'Bonding Program'!$H$5,0)-IF(BJ$3='Bonding Program'!$H$9,'Bonding Program'!$H$5,0)</f>
        <v>0</v>
      </c>
      <c r="BK364" s="13" t="n">
        <f aca="false">IF(BK$3='Bonding Program'!$H$9,-'Bonding Program'!$H$7,0)+IF(BK$3='Bonding Program'!$H$19,'Bonding Program'!$H$5,0)-IF(BK$3='Bonding Program'!$H$9,'Bonding Program'!$H$5,0)</f>
        <v>0</v>
      </c>
      <c r="BL364" s="13" t="n">
        <f aca="false">IF(BL$3='Bonding Program'!$H$9,-'Bonding Program'!$H$7,0)+IF(BL$3='Bonding Program'!$H$19,'Bonding Program'!$H$5,0)-IF(BL$3='Bonding Program'!$H$9,'Bonding Program'!$H$5,0)</f>
        <v>0</v>
      </c>
      <c r="BM364" s="13" t="n">
        <f aca="false">IF(BM$3='Bonding Program'!$H$9,-'Bonding Program'!$H$7,0)+IF(BM$3='Bonding Program'!$H$19,'Bonding Program'!$H$5,0)-IF(BM$3='Bonding Program'!$H$9,'Bonding Program'!$H$5,0)</f>
        <v>0</v>
      </c>
      <c r="BN364" s="13" t="n">
        <f aca="false">IF(BN$3='Bonding Program'!$H$9,-'Bonding Program'!$H$7,0)+IF(BN$3='Bonding Program'!$H$19,'Bonding Program'!$H$5,0)-IF(BN$3='Bonding Program'!$H$9,'Bonding Program'!$H$5,0)</f>
        <v>0</v>
      </c>
      <c r="BO364" s="13" t="n">
        <f aca="false">IF(BO$3='Bonding Program'!$H$9,-'Bonding Program'!$H$7,0)+IF(BO$3='Bonding Program'!$H$19,'Bonding Program'!$H$5,0)-IF(BO$3='Bonding Program'!$H$9,'Bonding Program'!$H$5,0)</f>
        <v>0</v>
      </c>
      <c r="BP364" s="13" t="n">
        <f aca="false">IF(BP$3='Bonding Program'!$H$9,-'Bonding Program'!$H$7,0)+IF(BP$3='Bonding Program'!$H$19,'Bonding Program'!$H$5,0)-IF(BP$3='Bonding Program'!$H$9,'Bonding Program'!$H$5,0)</f>
        <v>0</v>
      </c>
      <c r="BQ364" s="13" t="n">
        <f aca="false">IF(BQ$3='Bonding Program'!$H$9,-'Bonding Program'!$H$7,0)+IF(BQ$3='Bonding Program'!$H$19,'Bonding Program'!$H$5,0)-IF(BQ$3='Bonding Program'!$H$9,'Bonding Program'!$H$5,0)</f>
        <v>0</v>
      </c>
      <c r="BR364" s="13" t="n">
        <f aca="false">IF(BR$3='Bonding Program'!$H$9,-'Bonding Program'!$H$7,0)+IF(BR$3='Bonding Program'!$H$19,'Bonding Program'!$H$5,0)-IF(BR$3='Bonding Program'!$H$9,'Bonding Program'!$H$5,0)</f>
        <v>0</v>
      </c>
      <c r="BS364" s="13" t="n">
        <f aca="false">IF(BS$3='Bonding Program'!$H$9,-'Bonding Program'!$H$7,0)+IF(BS$3='Bonding Program'!$H$19,'Bonding Program'!$H$5,0)-IF(BS$3='Bonding Program'!$H$9,'Bonding Program'!$H$5,0)</f>
        <v>0</v>
      </c>
      <c r="BT364" s="13" t="n">
        <f aca="false">IF(BT$3='Bonding Program'!$H$9,-'Bonding Program'!$H$7,0)+IF(BT$3='Bonding Program'!$H$19,'Bonding Program'!$H$5,0)-IF(BT$3='Bonding Program'!$H$9,'Bonding Program'!$H$5,0)</f>
        <v>0</v>
      </c>
      <c r="BU364" s="13" t="n">
        <f aca="false">IF(BU$3='Bonding Program'!$H$9,-'Bonding Program'!$H$7,0)+IF(BU$3='Bonding Program'!$H$19,'Bonding Program'!$H$5,0)-IF(BU$3='Bonding Program'!$H$9,'Bonding Program'!$H$5,0)</f>
        <v>0</v>
      </c>
      <c r="BV364" s="13" t="n">
        <f aca="false">IF(BV$3='Bonding Program'!$H$9,-'Bonding Program'!$H$7,0)+IF(BV$3='Bonding Program'!$H$19,'Bonding Program'!$H$5,0)-IF(BV$3='Bonding Program'!$H$9,'Bonding Program'!$H$5,0)</f>
        <v>0</v>
      </c>
      <c r="BW364" s="13" t="n">
        <f aca="false">IF(BW$3='Bonding Program'!$H$9,-'Bonding Program'!$H$7,0)+IF(BW$3='Bonding Program'!$H$19,'Bonding Program'!$H$5,0)-IF(BW$3='Bonding Program'!$H$9,'Bonding Program'!$H$5,0)</f>
        <v>0</v>
      </c>
      <c r="BX364" s="13" t="n">
        <f aca="false">IF(BX$3='Bonding Program'!$H$9,-'Bonding Program'!$H$7,0)+IF(BX$3='Bonding Program'!$H$19,'Bonding Program'!$H$5,0)-IF(BX$3='Bonding Program'!$H$9,'Bonding Program'!$H$5,0)</f>
        <v>0</v>
      </c>
      <c r="BY364" s="13" t="n">
        <f aca="false">IF(BY$3='Bonding Program'!$H$9,-'Bonding Program'!$H$7,0)+IF(BY$3='Bonding Program'!$H$19,'Bonding Program'!$H$5,0)-IF(BY$3='Bonding Program'!$H$9,'Bonding Program'!$H$5,0)</f>
        <v>0</v>
      </c>
      <c r="BZ364" s="13" t="n">
        <f aca="false">IF(BZ$3='Bonding Program'!$H$9,-'Bonding Program'!$H$7,0)+IF(BZ$3='Bonding Program'!$H$19,'Bonding Program'!$H$5,0)-IF(BZ$3='Bonding Program'!$H$9,'Bonding Program'!$H$5,0)</f>
        <v>0</v>
      </c>
      <c r="CA364" s="13" t="n">
        <f aca="false">IF(CA$3='Bonding Program'!$H$9,-'Bonding Program'!$H$7,0)+IF(CA$3='Bonding Program'!$H$19,'Bonding Program'!$H$5,0)-IF(CA$3='Bonding Program'!$H$9,'Bonding Program'!$H$5,0)</f>
        <v>0</v>
      </c>
      <c r="CB364" s="13" t="n">
        <f aca="false">IF(CB$3='Bonding Program'!$H$9,-'Bonding Program'!$H$7,0)+IF(CB$3='Bonding Program'!$H$19,'Bonding Program'!$H$5,0)-IF(CB$3='Bonding Program'!$H$9,'Bonding Program'!$H$5,0)</f>
        <v>0</v>
      </c>
      <c r="CC364" s="13" t="n">
        <f aca="false">IF(CC$3='Bonding Program'!$H$9,-'Bonding Program'!$H$7,0)+IF(CC$3='Bonding Program'!$H$19,'Bonding Program'!$H$5,0)-IF(CC$3='Bonding Program'!$H$9,'Bonding Program'!$H$5,0)</f>
        <v>0</v>
      </c>
      <c r="CD364" s="13" t="n">
        <f aca="false">IF(CD$3='Bonding Program'!$H$9,-'Bonding Program'!$H$7,0)+IF(CD$3='Bonding Program'!$H$19,'Bonding Program'!$H$5,0)-IF(CD$3='Bonding Program'!$H$9,'Bonding Program'!$H$5,0)</f>
        <v>0</v>
      </c>
      <c r="CE364" s="13" t="n">
        <f aca="false">IF(CE$3='Bonding Program'!$H$9,-'Bonding Program'!$H$7,0)+IF(CE$3='Bonding Program'!$H$19,'Bonding Program'!$H$5,0)-IF(CE$3='Bonding Program'!$H$9,'Bonding Program'!$H$5,0)</f>
        <v>0</v>
      </c>
      <c r="CF364" s="13" t="n">
        <f aca="false">IF(CF$3='Bonding Program'!$H$9,-'Bonding Program'!$H$7,0)+IF(CF$3='Bonding Program'!$H$19,'Bonding Program'!$H$5,0)-IF(CF$3='Bonding Program'!$H$9,'Bonding Program'!$H$5,0)</f>
        <v>0</v>
      </c>
      <c r="CG364" s="13" t="n">
        <f aca="false">IF(CG$3='Bonding Program'!$H$9,-'Bonding Program'!$H$7,0)+IF(CG$3='Bonding Program'!$H$19,'Bonding Program'!$H$5,0)-IF(CG$3='Bonding Program'!$H$9,'Bonding Program'!$H$5,0)</f>
        <v>0</v>
      </c>
      <c r="CH364" s="13" t="n">
        <f aca="false">IF(CH$3='Bonding Program'!$H$9,-'Bonding Program'!$H$7,0)+IF(CH$3='Bonding Program'!$H$19,'Bonding Program'!$H$5,0)-IF(CH$3='Bonding Program'!$H$9,'Bonding Program'!$H$5,0)</f>
        <v>0</v>
      </c>
      <c r="CI364" s="13" t="n">
        <f aca="false">IF(CI$3='Bonding Program'!$H$9,-'Bonding Program'!$H$7,0)+IF(CI$3='Bonding Program'!$H$19,'Bonding Program'!$H$5,0)-IF(CI$3='Bonding Program'!$H$9,'Bonding Program'!$H$5,0)</f>
        <v>0</v>
      </c>
      <c r="CJ364" s="13" t="n">
        <f aca="false">IF(CJ$3='Bonding Program'!$H$9,-'Bonding Program'!$H$7,0)+IF(CJ$3='Bonding Program'!$H$19,'Bonding Program'!$H$5,0)-IF(CJ$3='Bonding Program'!$H$9,'Bonding Program'!$H$5,0)</f>
        <v>0</v>
      </c>
      <c r="CK364" s="13" t="n">
        <f aca="false">IF(CK$3='Bonding Program'!$H$9,-'Bonding Program'!$H$7,0)+IF(CK$3='Bonding Program'!$H$19,'Bonding Program'!$H$5,0)-IF(CK$3='Bonding Program'!$H$9,'Bonding Program'!$H$5,0)</f>
        <v>0</v>
      </c>
      <c r="CL364" s="13" t="n">
        <f aca="false">IF(CL$3='Bonding Program'!$H$9,-'Bonding Program'!$H$7,0)+IF(CL$3='Bonding Program'!$H$19,'Bonding Program'!$H$5,0)-IF(CL$3='Bonding Program'!$H$9,'Bonding Program'!$H$5,0)</f>
        <v>0</v>
      </c>
      <c r="CM364" s="13" t="n">
        <f aca="false">IF(CM$3='Bonding Program'!$H$9,-'Bonding Program'!$H$7,0)+IF(CM$3='Bonding Program'!$H$19,'Bonding Program'!$H$5,0)-IF(CM$3='Bonding Program'!$H$9,'Bonding Program'!$H$5,0)</f>
        <v>0</v>
      </c>
      <c r="CN364" s="13" t="n">
        <f aca="false">IF(CN$3='Bonding Program'!$H$9,-'Bonding Program'!$H$7,0)+IF(CN$3='Bonding Program'!$H$19,'Bonding Program'!$H$5,0)-IF(CN$3='Bonding Program'!$H$9,'Bonding Program'!$H$5,0)</f>
        <v>0</v>
      </c>
      <c r="CO364" s="13" t="n">
        <f aca="false">IF(CO$3='Bonding Program'!$H$9,-'Bonding Program'!$H$7,0)+IF(CO$3='Bonding Program'!$H$19,'Bonding Program'!$H$5,0)-IF(CO$3='Bonding Program'!$H$9,'Bonding Program'!$H$5,0)</f>
        <v>0</v>
      </c>
      <c r="CP364" s="13" t="n">
        <f aca="false">IF(CP$3='Bonding Program'!$H$9,-'Bonding Program'!$H$7,0)+IF(CP$3='Bonding Program'!$H$19,'Bonding Program'!$H$5,0)-IF(CP$3='Bonding Program'!$H$9,'Bonding Program'!$H$5,0)</f>
        <v>0</v>
      </c>
      <c r="CQ364" s="13" t="n">
        <f aca="false">IF(CQ$3='Bonding Program'!$H$9,-'Bonding Program'!$H$7,0)+IF(CQ$3='Bonding Program'!$H$19,'Bonding Program'!$H$5,0)-IF(CQ$3='Bonding Program'!$H$9,'Bonding Program'!$H$5,0)</f>
        <v>0</v>
      </c>
      <c r="CR364" s="13" t="n">
        <f aca="false">IF(CR$3='Bonding Program'!$H$9,-'Bonding Program'!$H$7,0)+IF(CR$3='Bonding Program'!$H$19,'Bonding Program'!$H$5,0)-IF(CR$3='Bonding Program'!$H$9,'Bonding Program'!$H$5,0)</f>
        <v>0</v>
      </c>
      <c r="CS364" s="13" t="n">
        <f aca="false">IF(CS$3='Bonding Program'!$H$9,-'Bonding Program'!$H$7,0)+IF(CS$3='Bonding Program'!$H$19,'Bonding Program'!$H$5,0)-IF(CS$3='Bonding Program'!$H$9,'Bonding Program'!$H$5,0)</f>
        <v>0</v>
      </c>
      <c r="CT364" s="13" t="n">
        <f aca="false">IF(CT$3='Bonding Program'!$H$9,-'Bonding Program'!$H$7,0)+IF(CT$3='Bonding Program'!$H$19,'Bonding Program'!$H$5,0)-IF(CT$3='Bonding Program'!$H$9,'Bonding Program'!$H$5,0)</f>
        <v>0</v>
      </c>
      <c r="CU364" s="13" t="n">
        <f aca="false">IF(CU$3='Bonding Program'!$H$9,-'Bonding Program'!$H$7,0)+IF(CU$3='Bonding Program'!$H$19,'Bonding Program'!$H$5,0)-IF(CU$3='Bonding Program'!$H$9,'Bonding Program'!$H$5,0)</f>
        <v>0</v>
      </c>
      <c r="CV364" s="13" t="n">
        <f aca="false">IF(CV$3='Bonding Program'!$H$9,-'Bonding Program'!$H$7,0)+IF(CV$3='Bonding Program'!$H$19,'Bonding Program'!$H$5,0)-IF(CV$3='Bonding Program'!$H$9,'Bonding Program'!$H$5,0)</f>
        <v>0</v>
      </c>
      <c r="CW364" s="13" t="n">
        <f aca="false">IF(CW$3='Bonding Program'!$H$9,-'Bonding Program'!$H$7,0)+IF(CW$3='Bonding Program'!$H$19,'Bonding Program'!$H$5,0)-IF(CW$3='Bonding Program'!$H$9,'Bonding Program'!$H$5,0)</f>
        <v>0</v>
      </c>
      <c r="CX364" s="13" t="n">
        <f aca="false">IF(CX$3='Bonding Program'!$H$9,-'Bonding Program'!$H$7,0)+IF(CX$3='Bonding Program'!$H$19,'Bonding Program'!$H$5,0)-IF(CX$3='Bonding Program'!$H$9,'Bonding Program'!$H$5,0)</f>
        <v>0</v>
      </c>
      <c r="CY364" s="13" t="n">
        <f aca="false">IF(CY$3='Bonding Program'!$H$9,-'Bonding Program'!$H$7,0)+IF(CY$3='Bonding Program'!$H$19,'Bonding Program'!$H$5,0)-IF(CY$3='Bonding Program'!$H$9,'Bonding Program'!$H$5,0)</f>
        <v>0</v>
      </c>
      <c r="CZ364" s="13" t="n">
        <f aca="false">IF(CZ$3='Bonding Program'!$H$9,-'Bonding Program'!$H$7,0)+IF(CZ$3='Bonding Program'!$H$19,'Bonding Program'!$H$5,0)-IF(CZ$3='Bonding Program'!$H$9,'Bonding Program'!$H$5,0)</f>
        <v>0</v>
      </c>
      <c r="DA364" s="13" t="n">
        <f aca="false">IF(DA$3='Bonding Program'!$H$9,-'Bonding Program'!$H$7,0)+IF(DA$3='Bonding Program'!$H$19,'Bonding Program'!$H$5,0)-IF(DA$3='Bonding Program'!$H$9,'Bonding Program'!$H$5,0)</f>
        <v>0</v>
      </c>
      <c r="DB364" s="13" t="n">
        <f aca="false">IF(DB$3='Bonding Program'!$H$9,-'Bonding Program'!$H$7,0)+IF(DB$3='Bonding Program'!$H$19,'Bonding Program'!$H$5,0)-IF(DB$3='Bonding Program'!$H$9,'Bonding Program'!$H$5,0)</f>
        <v>0</v>
      </c>
      <c r="DC364" s="13" t="n">
        <f aca="false">IF(DC$3='Bonding Program'!$H$9,-'Bonding Program'!$H$7,0)+IF(DC$3='Bonding Program'!$H$19,'Bonding Program'!$H$5,0)-IF(DC$3='Bonding Program'!$H$9,'Bonding Program'!$H$5,0)</f>
        <v>0</v>
      </c>
      <c r="DD364" s="13" t="n">
        <f aca="false">IF(DD$3='Bonding Program'!$H$9,-'Bonding Program'!$H$7,0)+IF(DD$3='Bonding Program'!$H$19,'Bonding Program'!$H$5,0)-IF(DD$3='Bonding Program'!$H$9,'Bonding Program'!$H$5,0)</f>
        <v>0</v>
      </c>
      <c r="DE364" s="13" t="n">
        <f aca="false">IF(DE$3='Bonding Program'!$H$9,-'Bonding Program'!$H$7,0)+IF(DE$3='Bonding Program'!$H$19,'Bonding Program'!$H$5,0)-IF(DE$3='Bonding Program'!$H$9,'Bonding Program'!$H$5,0)</f>
        <v>0</v>
      </c>
    </row>
    <row r="365" customFormat="false" ht="15" hidden="false" customHeight="true" outlineLevel="0" collapsed="false">
      <c r="A365" s="22" t="s">
        <v>191</v>
      </c>
      <c r="B365" s="13"/>
      <c r="C365" s="13"/>
      <c r="D365" s="13"/>
      <c r="E365" s="13"/>
      <c r="F365" s="13"/>
      <c r="G365" s="13"/>
      <c r="H365" s="13"/>
      <c r="I365" s="13"/>
      <c r="J365" s="13"/>
      <c r="K365" s="13" t="n">
        <f aca="false">-K199</f>
        <v>-115458.632875001</v>
      </c>
      <c r="L365" s="13" t="n">
        <f aca="false">K199-L199-K197-IF(K$3&lt;7,0,-SUMPRODUCT('Deal Terms'!$E$4:$E$47*('Deal Terms'!$G$4:$G$47=0),K$13:K$56+K$60:K$103))</f>
        <v>-331970.587125</v>
      </c>
      <c r="M365" s="13" t="n">
        <f aca="false">L199-M199-L197-IF(L$3&lt;7,0,-SUMPRODUCT('Deal Terms'!$E$4:$E$47*('Deal Terms'!$G$4:$G$47=0),L$13:L$56+L$60:L$103))</f>
        <v>-84447.6100000002</v>
      </c>
      <c r="N365" s="13" t="n">
        <f aca="false">M199-N199-M197-IF(M$3&lt;7,0,-SUMPRODUCT('Deal Terms'!$E$4:$E$47*('Deal Terms'!$G$4:$G$47=0),M$13:M$56+M$60:M$103))</f>
        <v>-123484.60671865</v>
      </c>
      <c r="O365" s="13" t="n">
        <f aca="false">N199-O199-N197-IF(N$3&lt;7,0,-SUMPRODUCT('Deal Terms'!$E$4:$E$47*('Deal Terms'!$G$4:$G$47=0),N$13:N$56+N$60:N$103))</f>
        <v>-28806.9764809501</v>
      </c>
      <c r="P365" s="13" t="n">
        <f aca="false">O199-P199-O197-IF(O$3&lt;7,0,-SUMPRODUCT('Deal Terms'!$E$4:$E$47*('Deal Terms'!$G$4:$G$47=0),O$13:O$56+O$60:O$103))</f>
        <v>-18031.5600000001</v>
      </c>
      <c r="Q365" s="13" t="n">
        <f aca="false">P199-Q199-P197-IF(P$3&lt;7,0,-SUMPRODUCT('Deal Terms'!$E$4:$E$47*('Deal Terms'!$G$4:$G$47=0),P$13:P$56+P$60:P$103))</f>
        <v>25940.6400000001</v>
      </c>
      <c r="R365" s="13" t="n">
        <f aca="false">Q199-R199-Q197-IF(Q$3&lt;7,0,-SUMPRODUCT('Deal Terms'!$E$4:$E$47*('Deal Terms'!$G$4:$G$47=0),Q$13:Q$56+Q$60:Q$103))</f>
        <v>13875.7600000026</v>
      </c>
      <c r="S365" s="13" t="n">
        <f aca="false">R199-S199-R197-IF(R$3&lt;7,0,-SUMPRODUCT('Deal Terms'!$E$4:$E$47*('Deal Terms'!$G$4:$G$47=0),R$13:R$56+R$60:R$103))</f>
        <v>298314.156296651</v>
      </c>
      <c r="T365" s="13" t="n">
        <f aca="false">S199-T199-S197-IF(S$3&lt;7,0,-SUMPRODUCT('Deal Terms'!$E$4:$E$47*('Deal Terms'!$G$4:$G$47=0),S$13:S$56+S$60:S$103))</f>
        <v>-666290.089509803</v>
      </c>
      <c r="U365" s="13" t="n">
        <f aca="false">T199-U199-T197-IF(T$3&lt;7,0,-SUMPRODUCT('Deal Terms'!$E$4:$E$47*('Deal Terms'!$G$4:$G$47=0),T$13:T$56+T$60:T$103))</f>
        <v>104349.46</v>
      </c>
      <c r="V365" s="13" t="n">
        <f aca="false">U199-V199-U197-IF(U$3&lt;7,0,-SUMPRODUCT('Deal Terms'!$E$4:$E$47*('Deal Terms'!$G$4:$G$47=0),U$13:U$56+U$60:U$103))</f>
        <v>-85365.459999999</v>
      </c>
      <c r="W365" s="13" t="n">
        <f aca="false">V199-W199-V197-IF(V$3&lt;7,0,-SUMPRODUCT('Deal Terms'!$E$4:$E$47*('Deal Terms'!$G$4:$G$47=0),V$13:V$56+V$60:V$103))</f>
        <v>180064.730000002</v>
      </c>
      <c r="X365" s="13" t="n">
        <f aca="false">W199-X199-W197-IF(W$3&lt;7,0,-SUMPRODUCT('Deal Terms'!$E$4:$E$47*('Deal Terms'!$G$4:$G$47=0),W$13:W$56+W$60:W$103))</f>
        <v>-150022.070000001</v>
      </c>
      <c r="Y365" s="13" t="n">
        <f aca="false">X199-Y199-X197-IF(X$3&lt;7,0,-SUMPRODUCT('Deal Terms'!$E$4:$E$47*('Deal Terms'!$G$4:$G$47=0),X$13:X$56+X$60:X$103))</f>
        <v>184566.379999998</v>
      </c>
      <c r="Z365" s="13" t="n">
        <f aca="false">Y199-Z199-Y197-IF(Y$3&lt;7,0,-SUMPRODUCT('Deal Terms'!$E$4:$E$47*('Deal Terms'!$G$4:$G$47=0),Y$13:Y$56+Y$60:Y$103))</f>
        <v>-99276.8200000003</v>
      </c>
      <c r="AA365" s="13" t="n">
        <f aca="false">Z199-AA199-Z197-IF(Z$3&lt;7,0,-SUMPRODUCT('Deal Terms'!$E$4:$E$47*('Deal Terms'!$G$4:$G$47=0),Z$13:Z$56+Z$60:Z$103))</f>
        <v>91062.1600000011</v>
      </c>
      <c r="AB365" s="13" t="n">
        <f aca="false">AA199-AB199-AA197-IF(AA$3&lt;7,0,-SUMPRODUCT('Deal Terms'!$E$4:$E$47*('Deal Terms'!$G$4:$G$47=0),AA$13:AA$56+AA$60:AA$103))</f>
        <v>138848.300000002</v>
      </c>
      <c r="AC365" s="13" t="n">
        <f aca="false">AB199-AC199-AB197-IF(AB$3&lt;7,0,-SUMPRODUCT('Deal Terms'!$E$4:$E$47*('Deal Terms'!$G$4:$G$47=0),AB$13:AB$56+AB$60:AB$103))</f>
        <v>96679.8899999969</v>
      </c>
      <c r="AD365" s="13" t="n">
        <f aca="false">AC199-AD199-AC197-IF(AC$3&lt;7,0,-SUMPRODUCT('Deal Terms'!$E$4:$E$47*('Deal Terms'!$G$4:$G$47=0),AC$13:AC$56+AC$60:AC$103))</f>
        <v>-22292.0299999993</v>
      </c>
      <c r="AE365" s="13" t="n">
        <f aca="false">AD199-AE199-AD197-IF(AD$3&lt;7,0,-SUMPRODUCT('Deal Terms'!$E$4:$E$47*('Deal Terms'!$G$4:$G$47=0),AD$13:AD$56+AD$60:AD$103))</f>
        <v>9240.80000000354</v>
      </c>
      <c r="AF365" s="13" t="n">
        <f aca="false">AE199-AF199-AE197-IF(AE$3&lt;7,0,-SUMPRODUCT('Deal Terms'!$E$4:$E$47*('Deal Terms'!$G$4:$G$47=0),AE$13:AE$56+AE$60:AE$103))</f>
        <v>-158079.586718651</v>
      </c>
      <c r="AG365" s="13" t="n">
        <f aca="false">AF199-AG199-AF197-IF(AF$3&lt;7,0,-SUMPRODUCT('Deal Terms'!$E$4:$E$47*('Deal Terms'!$G$4:$G$47=0),AF$13:AF$56+AF$60:AF$103))</f>
        <v>66977.0969563499</v>
      </c>
      <c r="AH365" s="13" t="n">
        <f aca="false">AG199-AH199-AG197-IF(AG$3&lt;7,0,-SUMPRODUCT('Deal Terms'!$E$4:$E$47*('Deal Terms'!$G$4:$G$47=0),AG$13:AG$56+AG$60:AG$103))</f>
        <v>136989.482961901</v>
      </c>
      <c r="AI365" s="13" t="n">
        <f aca="false">AH199-AI199-AH197-IF(AH$3&lt;7,0,-SUMPRODUCT('Deal Terms'!$E$4:$E$47*('Deal Terms'!$G$4:$G$47=0),AH$13:AH$56+AH$60:AH$103))</f>
        <v>6670.66999999527</v>
      </c>
      <c r="AJ365" s="13" t="n">
        <f aca="false">AI199-AJ199-AI197-IF(AI$3&lt;7,0,-SUMPRODUCT('Deal Terms'!$E$4:$E$47*('Deal Terms'!$G$4:$G$47=0),AI$13:AI$56+AI$60:AI$103))</f>
        <v>121167.330000003</v>
      </c>
      <c r="AK365" s="13" t="n">
        <f aca="false">AJ199-AK199-AJ197-IF(AJ$3&lt;7,0,-SUMPRODUCT('Deal Terms'!$E$4:$E$47*('Deal Terms'!$G$4:$G$47=0),AJ$13:AJ$56+AJ$60:AJ$103))</f>
        <v>24913.46</v>
      </c>
      <c r="AL365" s="13" t="n">
        <f aca="false">AK199-AL199-AK197-IF(AK$3&lt;7,0,-SUMPRODUCT('Deal Terms'!$E$4:$E$47*('Deal Terms'!$G$4:$G$47=0),AK$13:AK$56+AK$60:AK$103))</f>
        <v>-13801.9600000009</v>
      </c>
      <c r="AM365" s="13" t="n">
        <f aca="false">AL199-AM199-AL197-IF(AL$3&lt;7,0,-SUMPRODUCT('Deal Terms'!$E$4:$E$47*('Deal Terms'!$G$4:$G$47=0),AL$13:AL$56+AL$60:AL$103))</f>
        <v>-11382.8199999989</v>
      </c>
      <c r="AN365" s="13" t="n">
        <f aca="false">AM199-AN199-AM197-IF(AM$3&lt;7,0,-SUMPRODUCT('Deal Terms'!$E$4:$E$47*('Deal Terms'!$G$4:$G$47=0),AM$13:AM$56+AM$60:AM$103))</f>
        <v>106993.860000003</v>
      </c>
      <c r="AO365" s="13" t="n">
        <f aca="false">AN199-AO199-AN197-IF(AN$3&lt;7,0,-SUMPRODUCT('Deal Terms'!$E$4:$E$47*('Deal Terms'!$G$4:$G$47=0),AN$13:AN$56+AN$60:AN$103))</f>
        <v>39348.5500000003</v>
      </c>
      <c r="AP365" s="13" t="n">
        <f aca="false">AO199-AP199-AO197-IF(AO$3&lt;7,0,-SUMPRODUCT('Deal Terms'!$E$4:$E$47*('Deal Terms'!$G$4:$G$47=0),AO$13:AO$56+AO$60:AO$103))</f>
        <v>-132868.596828548</v>
      </c>
      <c r="AQ365" s="13" t="n">
        <f aca="false">AP199-AQ199-AP197-IF(AP$3&lt;7,0,-SUMPRODUCT('Deal Terms'!$E$4:$E$47*('Deal Terms'!$G$4:$G$47=0),AP$13:AP$56+AP$60:AP$103))</f>
        <v>238056.235984481</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0</v>
      </c>
      <c r="AU365" s="13" t="n">
        <f aca="false">AT199-AU199-AT197-IF(AT$3&lt;7,0,-SUMPRODUCT('Deal Terms'!$E$4:$E$47*('Deal Terms'!$G$4:$G$47=0),AT$13:AT$56+AT$60:AT$103))</f>
        <v>0</v>
      </c>
      <c r="AV365" s="13" t="n">
        <f aca="false">AU199-AV199-AU197-IF(AU$3&lt;7,0,-SUMPRODUCT('Deal Terms'!$E$4:$E$47*('Deal Terms'!$G$4:$G$47=0),AU$13:AU$56+AU$60:AU$103))</f>
        <v>-272485.5853535</v>
      </c>
      <c r="AW365" s="13" t="n">
        <f aca="false">AV199-AW199-AV197-IF(AV$3&lt;7,0,-SUMPRODUCT('Deal Terms'!$E$4:$E$47*('Deal Terms'!$G$4:$G$47=0),AV$13:AV$56+AV$60:AV$103))</f>
        <v>445059.789410717</v>
      </c>
      <c r="AX365" s="13" t="n">
        <f aca="false">AW199-AX199-AW197-IF(AW$3&lt;7,0,-SUMPRODUCT('Deal Terms'!$E$4:$E$47*('Deal Terms'!$G$4:$G$47=0),AW$13:AW$56+AW$60:AW$103))</f>
        <v>0</v>
      </c>
      <c r="AY365" s="13" t="n">
        <f aca="false">AX199-AY199-AX197-IF(AX$3&lt;7,0,-SUMPRODUCT('Deal Terms'!$E$4:$E$47*('Deal Terms'!$G$4:$G$47=0),AX$13:AX$56+AX$60:AX$103))</f>
        <v>0</v>
      </c>
      <c r="AZ365" s="13" t="n">
        <f aca="false">AY199-AZ199-AY197-IF(AY$3&lt;7,0,-SUMPRODUCT('Deal Terms'!$E$4:$E$47*('Deal Terms'!$G$4:$G$47=0),AY$13:AY$56+AY$60:AY$103))</f>
        <v>0</v>
      </c>
      <c r="BA365" s="13" t="n">
        <f aca="false">AZ199-BA199-AZ197-IF(AZ$3&lt;7,0,-SUMPRODUCT('Deal Terms'!$E$4:$E$47*('Deal Terms'!$G$4:$G$47=0),AZ$13:AZ$56+AZ$60:AZ$103))</f>
        <v>0</v>
      </c>
      <c r="BB365" s="13" t="n">
        <f aca="false">BA199-BB199-BA197-IF(BA$3&lt;7,0,-SUMPRODUCT('Deal Terms'!$E$4:$E$47*('Deal Terms'!$G$4:$G$47=0),BA$13:BA$56+BA$60:BA$103))</f>
        <v>0</v>
      </c>
      <c r="BC365" s="13" t="n">
        <f aca="false">BB199-BC199-BB197-IF(BB$3&lt;7,0,-SUMPRODUCT('Deal Terms'!$E$4:$E$47*('Deal Terms'!$G$4:$G$47=0),BB$13:BB$56+BB$60:BB$103))</f>
        <v>0</v>
      </c>
      <c r="BD365" s="13" t="n">
        <f aca="false">BC199-BD199-BC197-IF(BC$3&lt;7,0,-SUMPRODUCT('Deal Terms'!$E$4:$E$47*('Deal Terms'!$G$4:$G$47=0),BC$13:BC$56+BC$60:BC$103))</f>
        <v>0</v>
      </c>
      <c r="BE365" s="13" t="n">
        <f aca="false">BD199-BE199-BD197-IF(BD$3&lt;7,0,-SUMPRODUCT('Deal Terms'!$E$4:$E$47*('Deal Terms'!$G$4:$G$47=0),BD$13:BD$56+BD$60:BD$103))</f>
        <v>0</v>
      </c>
      <c r="BF365" s="13" t="n">
        <f aca="false">BE199-BF199-BE197-IF(BE$3&lt;7,0,-SUMPRODUCT('Deal Terms'!$E$4:$E$47*('Deal Terms'!$G$4:$G$47=0),BE$13:BE$56+BE$60:BE$103))</f>
        <v>0</v>
      </c>
      <c r="BG365" s="13" t="n">
        <f aca="false">BF199-BG199-BF197-IF(BF$3&lt;7,0,-SUMPRODUCT('Deal Terms'!$E$4:$E$47*('Deal Terms'!$G$4:$G$47=0),BF$13:BF$56+BF$60:BF$103))</f>
        <v>0</v>
      </c>
      <c r="BH365" s="13" t="n">
        <f aca="false">BG199-BH199-BG197-IF(BG$3&lt;7,0,-SUMPRODUCT('Deal Terms'!$E$4:$E$47*('Deal Terms'!$G$4:$G$47=0),BG$13:BG$56+BG$60:BG$103))</f>
        <v>0</v>
      </c>
      <c r="BI365" s="13" t="n">
        <f aca="false">BH199-BI199-BH197-IF(BH$3&lt;7,0,-SUMPRODUCT('Deal Terms'!$E$4:$E$47*('Deal Terms'!$G$4:$G$47=0),BH$13:BH$56+BH$60:BH$103))</f>
        <v>0</v>
      </c>
      <c r="BJ365" s="13" t="n">
        <f aca="false">BI199-BJ199-BI197-IF(BI$3&lt;7,0,-SUMPRODUCT('Deal Terms'!$E$4:$E$47*('Deal Terms'!$G$4:$G$47=0),BI$13:BI$56+BI$60:BI$103))</f>
        <v>0</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0</v>
      </c>
      <c r="BN365" s="13" t="n">
        <f aca="false">BM199-BN199-BM197-IF(BM$3&lt;7,0,-SUMPRODUCT('Deal Terms'!$E$4:$E$47*('Deal Terms'!$G$4:$G$47=0),BM$13:BM$56+BM$60:BM$103))</f>
        <v>0</v>
      </c>
      <c r="BO365" s="13" t="n">
        <f aca="false">BN199-BO199-BN197-IF(BN$3&lt;7,0,-SUMPRODUCT('Deal Terms'!$E$4:$E$47*('Deal Terms'!$G$4:$G$47=0),BN$13:BN$56+BN$60:BN$103))</f>
        <v>0</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0</v>
      </c>
      <c r="BS365" s="13" t="n">
        <f aca="false">BR199-BS199-BR197-IF(BR$3&lt;7,0,-SUMPRODUCT('Deal Terms'!$E$4:$E$47*('Deal Terms'!$G$4:$G$47=0),BR$13:BR$56+BR$60:BR$103))</f>
        <v>0</v>
      </c>
      <c r="BT365" s="13" t="n">
        <f aca="false">BS199-BT199-BS197-IF(BS$3&lt;7,0,-SUMPRODUCT('Deal Terms'!$E$4:$E$47*('Deal Terms'!$G$4:$G$47=0),BS$13:BS$56+BS$60:BS$103))</f>
        <v>0</v>
      </c>
      <c r="BU365" s="13" t="n">
        <f aca="false">BT199-BU199-BT197-IF(BT$3&lt;7,0,-SUMPRODUCT('Deal Terms'!$E$4:$E$47*('Deal Terms'!$G$4:$G$47=0),BT$13:BT$56+BT$60:BT$103))</f>
        <v>0</v>
      </c>
      <c r="BV365" s="13" t="n">
        <f aca="false">BU199-BV199-BU197-IF(BU$3&lt;7,0,-SUMPRODUCT('Deal Terms'!$E$4:$E$47*('Deal Terms'!$G$4:$G$47=0),BU$13:BU$56+BU$60:BU$103))</f>
        <v>0</v>
      </c>
      <c r="BW365" s="13" t="n">
        <f aca="false">BV199-BW199-BV197-IF(BV$3&lt;7,0,-SUMPRODUCT('Deal Terms'!$E$4:$E$47*('Deal Terms'!$G$4:$G$47=0),BV$13:BV$56+BV$60:BV$103))</f>
        <v>0</v>
      </c>
      <c r="BX365" s="13" t="n">
        <f aca="false">BW199-BX199-BW197-IF(BW$3&lt;7,0,-SUMPRODUCT('Deal Terms'!$E$4:$E$47*('Deal Terms'!$G$4:$G$47=0),BW$13:BW$56+BW$60:BW$103))</f>
        <v>0</v>
      </c>
      <c r="BY365" s="13" t="n">
        <f aca="false">BX199-BY199-BX197-IF(BX$3&lt;7,0,-SUMPRODUCT('Deal Terms'!$E$4:$E$47*('Deal Terms'!$G$4:$G$47=0),BX$13:BX$56+BX$60:BX$103))</f>
        <v>0</v>
      </c>
      <c r="BZ365" s="13" t="n">
        <f aca="false">BY199-BZ199-BY197-IF(BY$3&lt;7,0,-SUMPRODUCT('Deal Terms'!$E$4:$E$47*('Deal Terms'!$G$4:$G$47=0),BY$13:BY$56+BY$60:BY$103))</f>
        <v>0</v>
      </c>
      <c r="CA365" s="13" t="n">
        <f aca="false">BZ199-CA199-BZ197-IF(BZ$3&lt;7,0,-SUMPRODUCT('Deal Terms'!$E$4:$E$47*('Deal Terms'!$G$4:$G$47=0),BZ$13:BZ$56+BZ$60:BZ$103))</f>
        <v>0</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192</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193</v>
      </c>
      <c r="B367" s="13"/>
      <c r="C367" s="13"/>
      <c r="D367" s="13"/>
      <c r="E367" s="13"/>
      <c r="F367" s="13"/>
      <c r="G367" s="13"/>
      <c r="H367" s="13"/>
      <c r="I367" s="13"/>
      <c r="J367" s="13"/>
      <c r="K367" s="13" t="n">
        <f aca="false">-0.05*(K10+K11)</f>
        <v>-35137.27</v>
      </c>
      <c r="L367" s="13" t="n">
        <f aca="false">-0.05*(L10+L11)</f>
        <v>-28437.9935</v>
      </c>
      <c r="M367" s="13" t="n">
        <f aca="false">-0.05*(M10+M11)</f>
        <v>-30086.1955</v>
      </c>
      <c r="N367" s="13" t="n">
        <f aca="false">-0.05*(N10+N11)</f>
        <v>-36473.4493359325</v>
      </c>
      <c r="O367" s="13" t="n">
        <f aca="false">-0.05*(O10+O11)</f>
        <v>-37407.14265998</v>
      </c>
      <c r="P367" s="13" t="n">
        <f aca="false">-0.05*(P10+P11)</f>
        <v>-38874.38765998</v>
      </c>
      <c r="Q367" s="13" t="n">
        <f aca="false">-0.05*(Q10+Q11)</f>
        <v>-37086.19015998</v>
      </c>
      <c r="R367" s="13" t="n">
        <f aca="false">-0.05*(R10+R11)</f>
        <v>-35822.93915998</v>
      </c>
      <c r="S367" s="13" t="n">
        <f aca="false">-0.05*(S10+S11)</f>
        <v>-50125.0538206375</v>
      </c>
      <c r="T367" s="13" t="n">
        <f aca="false">-0.05*(T10+T11)</f>
        <v>-54810.8033206375</v>
      </c>
      <c r="U367" s="13" t="n">
        <f aca="false">-0.05*(U10+U11)</f>
        <v>-49323.7808206375</v>
      </c>
      <c r="V367" s="13" t="n">
        <f aca="false">-0.05*(V10+V11)</f>
        <v>-51898.4588206375</v>
      </c>
      <c r="W367" s="13" t="n">
        <f aca="false">-0.05*(W10+W11)</f>
        <v>-42025.4058206375</v>
      </c>
      <c r="X367" s="13" t="n">
        <f aca="false">-0.05*(X10+X11)</f>
        <v>-49410.1898206375</v>
      </c>
      <c r="Y367" s="13" t="n">
        <f aca="false">-0.05*(Y10+Y11)</f>
        <v>-40233.8438206375</v>
      </c>
      <c r="Z367" s="13" t="n">
        <f aca="false">-0.05*(Z10+Z11)</f>
        <v>-45230.1938206375</v>
      </c>
      <c r="AA367" s="13" t="n">
        <f aca="false">-0.05*(AA10+AA11)</f>
        <v>-40721.8468206375</v>
      </c>
      <c r="AB367" s="13" t="n">
        <f aca="false">-0.05*(AB10+AB11)</f>
        <v>-33815.1333206375</v>
      </c>
      <c r="AC367" s="13" t="n">
        <f aca="false">-0.05*(AC10+AC11)</f>
        <v>-29003.2913206375</v>
      </c>
      <c r="AD367" s="13" t="n">
        <f aca="false">-0.05*(AD10+AD11)</f>
        <v>-30131.5933206375</v>
      </c>
      <c r="AE367" s="13" t="n">
        <f aca="false">-0.05*(AE10+AE11)</f>
        <v>-29685.7773206375</v>
      </c>
      <c r="AF367" s="13" t="n">
        <f aca="false">-0.05*(AF10+AF11)</f>
        <v>-37604.98365657</v>
      </c>
      <c r="AG367" s="13" t="n">
        <f aca="false">-0.05*(AG10+AG11)</f>
        <v>-34274.9588087525</v>
      </c>
      <c r="AH367" s="13" t="n">
        <f aca="false">-0.05*(AH10+AH11)</f>
        <v>-27458.1846606575</v>
      </c>
      <c r="AI367" s="13" t="n">
        <f aca="false">-0.05*(AI10+AI11)</f>
        <v>-27154.9991606575</v>
      </c>
      <c r="AJ367" s="13" t="n">
        <f aca="false">-0.05*(AJ10+AJ11)</f>
        <v>-21126.3026606575</v>
      </c>
      <c r="AK367" s="13" t="n">
        <f aca="false">-0.05*(AK10+AK11)</f>
        <v>-19896.8171606575</v>
      </c>
      <c r="AL367" s="13" t="n">
        <f aca="false">-0.05*(AL10+AL11)</f>
        <v>-20600.3526606575</v>
      </c>
      <c r="AM367" s="13" t="n">
        <f aca="false">-0.05*(AM10+AM11)</f>
        <v>-21184.5046606575</v>
      </c>
      <c r="AN367" s="13" t="n">
        <f aca="false">-0.05*(AN10+AN11)</f>
        <v>-15851.1291606575</v>
      </c>
      <c r="AO367" s="13" t="n">
        <f aca="false">-0.05*(AO10+AO11)</f>
        <v>-13888.0921606575</v>
      </c>
      <c r="AP367" s="13" t="n">
        <f aca="false">-0.05*(AP10+AP11)</f>
        <v>-20531.5220020849</v>
      </c>
      <c r="AQ367" s="13" t="n">
        <f aca="false">-0.05*(AQ10+AQ11)</f>
        <v>-8628.71020286083</v>
      </c>
      <c r="AR367" s="13" t="n">
        <f aca="false">-0.05*(AR10+AR11)</f>
        <v>-8628.71020286083</v>
      </c>
      <c r="AS367" s="13" t="n">
        <f aca="false">-0.05*(AS10+AS11)</f>
        <v>-8628.71020286083</v>
      </c>
      <c r="AT367" s="13" t="n">
        <f aca="false">-0.05*(AT10+AT11)</f>
        <v>-8628.71020286083</v>
      </c>
      <c r="AU367" s="13" t="n">
        <f aca="false">-0.05*(AU10+AU11)</f>
        <v>-8628.71020286083</v>
      </c>
      <c r="AV367" s="13" t="n">
        <f aca="false">-0.05*(AV10+AV11)</f>
        <v>-22252.9894705358</v>
      </c>
      <c r="AW367" s="13" t="n">
        <f aca="false">-0.05*(AW10+AW11)</f>
        <v>-0</v>
      </c>
      <c r="AX367" s="13" t="n">
        <f aca="false">-0.05*(AX10+AX11)</f>
        <v>-0</v>
      </c>
      <c r="AY367" s="13" t="n">
        <f aca="false">-0.05*(AY10+AY11)</f>
        <v>-0</v>
      </c>
      <c r="AZ367" s="13" t="n">
        <f aca="false">-0.05*(AZ10+AZ11)</f>
        <v>-0</v>
      </c>
      <c r="BA367" s="13" t="n">
        <f aca="false">-0.05*(BA10+BA11)</f>
        <v>-0</v>
      </c>
      <c r="BB367" s="13" t="n">
        <f aca="false">-0.05*(BB10+BB11)</f>
        <v>-0</v>
      </c>
      <c r="BC367" s="13" t="n">
        <f aca="false">-0.05*(BC10+BC11)</f>
        <v>-0</v>
      </c>
      <c r="BD367" s="13" t="n">
        <f aca="false">-0.05*(BD10+BD11)</f>
        <v>-0</v>
      </c>
      <c r="BE367" s="13" t="n">
        <f aca="false">-0.05*(BE10+BE11)</f>
        <v>-0</v>
      </c>
      <c r="BF367" s="13" t="n">
        <f aca="false">-0.05*(BF10+BF11)</f>
        <v>-0</v>
      </c>
      <c r="BG367" s="13" t="n">
        <f aca="false">-0.05*(BG10+BG11)</f>
        <v>-0</v>
      </c>
      <c r="BH367" s="13" t="n">
        <f aca="false">-0.05*(BH10+BH11)</f>
        <v>-0</v>
      </c>
      <c r="BI367" s="13" t="n">
        <f aca="false">-0.05*(BI10+BI11)</f>
        <v>-0</v>
      </c>
      <c r="BJ367" s="13" t="n">
        <f aca="false">-0.05*(BJ10+BJ11)</f>
        <v>-0</v>
      </c>
      <c r="BK367" s="13" t="n">
        <f aca="false">-0.05*(BK10+BK11)</f>
        <v>-0</v>
      </c>
      <c r="BL367" s="13" t="n">
        <f aca="false">-0.05*(BL10+BL11)</f>
        <v>-0</v>
      </c>
      <c r="BM367" s="13" t="n">
        <f aca="false">-0.05*(BM10+BM11)</f>
        <v>-0</v>
      </c>
      <c r="BN367" s="13" t="n">
        <f aca="false">-0.05*(BN10+BN11)</f>
        <v>-0</v>
      </c>
      <c r="BO367" s="13" t="n">
        <f aca="false">-0.05*(BO10+BO11)</f>
        <v>-0</v>
      </c>
      <c r="BP367" s="13" t="n">
        <f aca="false">-0.05*(BP10+BP11)</f>
        <v>-0</v>
      </c>
      <c r="BQ367" s="13" t="n">
        <f aca="false">-0.05*(BQ10+BQ11)</f>
        <v>-0</v>
      </c>
      <c r="BR367" s="13" t="n">
        <f aca="false">-0.05*(BR10+BR11)</f>
        <v>-0</v>
      </c>
      <c r="BS367" s="13" t="n">
        <f aca="false">-0.05*(BS10+BS11)</f>
        <v>-0</v>
      </c>
      <c r="BT367" s="13" t="n">
        <f aca="false">-0.05*(BT10+BT11)</f>
        <v>-0</v>
      </c>
      <c r="BU367" s="13" t="n">
        <f aca="false">-0.05*(BU10+BU11)</f>
        <v>-0</v>
      </c>
      <c r="BV367" s="13" t="n">
        <f aca="false">-0.05*(BV10+BV11)</f>
        <v>-0</v>
      </c>
      <c r="BW367" s="13" t="n">
        <f aca="false">-0.05*(BW10+BW11)</f>
        <v>-0</v>
      </c>
      <c r="BX367" s="13" t="n">
        <f aca="false">-0.05*(BX10+BX11)</f>
        <v>-0</v>
      </c>
      <c r="BY367" s="13" t="n">
        <f aca="false">-0.05*(BY10+BY11)</f>
        <v>-0</v>
      </c>
      <c r="BZ367" s="13" t="n">
        <f aca="false">-0.05*(BZ10+BZ11)</f>
        <v>-0</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194</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0</v>
      </c>
      <c r="AI368" s="13" t="n">
        <f aca="false">SUMIFS(Retention!$E$2:$E$44,Retention!$F$2:$F$44,AI$3)</f>
        <v>0</v>
      </c>
      <c r="AJ368" s="13" t="n">
        <f aca="false">SUMIFS(Retention!$E$2:$E$44,Retention!$F$2:$F$44,AJ$3)</f>
        <v>0</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257371.896</v>
      </c>
      <c r="AO368" s="13" t="n">
        <f aca="false">SUMIFS(Retention!$E$2:$E$44,Retention!$F$2:$F$44,AO$3)</f>
        <v>0</v>
      </c>
      <c r="AP368" s="13" t="n">
        <f aca="false">SUMIFS(Retention!$E$2:$E$44,Retention!$F$2:$F$44,AP$3)</f>
        <v>132868.596828548</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0</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0</v>
      </c>
      <c r="BA368" s="13" t="n">
        <f aca="false">SUMIFS(Retention!$E$2:$E$44,Retention!$F$2:$F$44,BA$3)</f>
        <v>0</v>
      </c>
      <c r="BB368" s="13" t="n">
        <f aca="false">SUMIFS(Retention!$E$2:$E$44,Retention!$F$2:$F$44,BB$3)</f>
        <v>0</v>
      </c>
      <c r="BC368" s="13" t="n">
        <f aca="false">SUMIFS(Retention!$E$2:$E$44,Retention!$F$2:$F$44,BC$3)</f>
        <v>0</v>
      </c>
      <c r="BD368" s="13" t="n">
        <f aca="false">SUMIFS(Retention!$E$2:$E$44,Retention!$F$2:$F$44,BD$3)</f>
        <v>0</v>
      </c>
      <c r="BE368" s="13" t="n">
        <f aca="false">SUMIFS(Retention!$E$2:$E$44,Retention!$F$2:$F$44,BE$3)</f>
        <v>0</v>
      </c>
      <c r="BF368" s="13" t="n">
        <f aca="false">SUMIFS(Retention!$E$2:$E$44,Retention!$F$2:$F$44,BF$3)</f>
        <v>0</v>
      </c>
      <c r="BG368" s="13" t="n">
        <f aca="false">SUMIFS(Retention!$E$2:$E$44,Retention!$F$2:$F$44,BG$3)</f>
        <v>0</v>
      </c>
      <c r="BH368" s="13" t="n">
        <f aca="false">SUMIFS(Retention!$E$2:$E$44,Retention!$F$2:$F$44,BH$3)</f>
        <v>0</v>
      </c>
      <c r="BI368" s="13" t="n">
        <f aca="false">SUMIFS(Retention!$E$2:$E$44,Retention!$F$2:$F$44,BI$3)</f>
        <v>0</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0</v>
      </c>
      <c r="BN368" s="13" t="n">
        <f aca="false">SUMIFS(Retention!$E$2:$E$44,Retention!$F$2:$F$44,BN$3)</f>
        <v>0</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0</v>
      </c>
      <c r="BS368" s="13" t="n">
        <f aca="false">SUMIFS(Retention!$E$2:$E$44,Retention!$F$2:$F$44,BS$3)</f>
        <v>0</v>
      </c>
      <c r="BT368" s="13" t="n">
        <f aca="false">SUMIFS(Retention!$E$2:$E$44,Retention!$F$2:$F$44,BT$3)</f>
        <v>0</v>
      </c>
      <c r="BU368" s="13" t="n">
        <f aca="false">SUMIFS(Retention!$E$2:$E$44,Retention!$F$2:$F$44,BU$3)</f>
        <v>0</v>
      </c>
      <c r="BV368" s="13" t="n">
        <f aca="false">SUMIFS(Retention!$E$2:$E$44,Retention!$F$2:$F$44,BV$3)</f>
        <v>0</v>
      </c>
      <c r="BW368" s="13" t="n">
        <f aca="false">SUMIFS(Retention!$E$2:$E$44,Retention!$F$2:$F$44,BW$3)</f>
        <v>0</v>
      </c>
      <c r="BX368" s="13" t="n">
        <f aca="false">SUMIFS(Retention!$E$2:$E$44,Retention!$F$2:$F$44,BX$3)</f>
        <v>0</v>
      </c>
      <c r="BY368" s="13" t="n">
        <f aca="false">SUMIFS(Retention!$E$2:$E$44,Retention!$F$2:$F$44,BY$3)</f>
        <v>0</v>
      </c>
      <c r="BZ368" s="13" t="n">
        <f aca="false">SUMIFS(Retention!$E$2:$E$44,Retention!$F$2:$F$44,BZ$3)</f>
        <v>0</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195</v>
      </c>
      <c r="B369" s="68"/>
      <c r="C369" s="68"/>
      <c r="D369" s="68"/>
      <c r="E369" s="68"/>
      <c r="F369" s="68"/>
      <c r="G369" s="68"/>
      <c r="H369" s="68"/>
      <c r="I369" s="68"/>
      <c r="J369" s="68"/>
      <c r="K369" s="68" t="n">
        <f aca="false">SUM(K361:K368)</f>
        <v>2280752.46745833</v>
      </c>
      <c r="L369" s="68" t="n">
        <f aca="false">SUM(L361:L368)</f>
        <v>2049693.79516667</v>
      </c>
      <c r="M369" s="68" t="n">
        <f aca="false">SUM(M361:M368)</f>
        <v>1970326.28</v>
      </c>
      <c r="N369" s="68" t="n">
        <f aca="false">SUM(N361:N368)</f>
        <v>796003.920414069</v>
      </c>
      <c r="O369" s="68" t="n">
        <f aca="false">SUM(O361:O368)</f>
        <v>978553.13647274</v>
      </c>
      <c r="P369" s="68" t="n">
        <f aca="false">SUM(P361:P368)</f>
        <v>1221760.14401236</v>
      </c>
      <c r="Q369" s="68" t="n">
        <f aca="false">SUM(Q361:Q368)</f>
        <v>1485284.24905198</v>
      </c>
      <c r="R369" s="68" t="n">
        <f aca="false">SUM(R361:R368)</f>
        <v>1724612.0150916</v>
      </c>
      <c r="S369" s="68" t="n">
        <f aca="false">SUM(S361:S368)</f>
        <v>1870257.23997056</v>
      </c>
      <c r="T369" s="68" t="n">
        <f aca="false">SUM(T361:T368)</f>
        <v>1726108.96555287</v>
      </c>
      <c r="U369" s="68" t="n">
        <f aca="false">SUM(U361:U368)</f>
        <v>2335200.73114498</v>
      </c>
      <c r="V369" s="68" t="n">
        <f aca="false">SUM(V361:V368)</f>
        <v>2894511.4327371</v>
      </c>
      <c r="W369" s="68" t="n">
        <f aca="false">SUM(W361:W368)</f>
        <v>3504755.62232921</v>
      </c>
      <c r="X369" s="68" t="n">
        <f aca="false">SUM(X361:X368)</f>
        <v>3835954.32092132</v>
      </c>
      <c r="Y369" s="68" t="n">
        <f aca="false">SUM(Y361:Y368)</f>
        <v>4127390.89551343</v>
      </c>
      <c r="Z369" s="68" t="n">
        <f aca="false">SUM(Z361:Z368)</f>
        <v>4424721.22103785</v>
      </c>
      <c r="AA369" s="68" t="n">
        <f aca="false">SUM(AA361:AA368)</f>
        <v>4935323.31836997</v>
      </c>
      <c r="AB369" s="68" t="n">
        <f aca="false">SUM(AB361:AB368)</f>
        <v>5359456.33940078</v>
      </c>
      <c r="AC369" s="68" t="n">
        <f aca="false">SUM(AC361:AC368)</f>
        <v>5593702.34473289</v>
      </c>
      <c r="AD369" s="68" t="n">
        <f aca="false">SUM(AD361:AD368)</f>
        <v>5735453.51614193</v>
      </c>
      <c r="AE369" s="68" t="n">
        <f aca="false">SUM(AE361:AE368)</f>
        <v>5922190.09047404</v>
      </c>
      <c r="AF369" s="68" t="n">
        <f aca="false">SUM(AF361:AF368)</f>
        <v>6218236.32518887</v>
      </c>
      <c r="AG369" s="68" t="n">
        <f aca="false">SUM(AG361:AG368)</f>
        <v>6607553.53123247</v>
      </c>
      <c r="AH369" s="68" t="n">
        <f aca="false">SUM(AH361:AH368)</f>
        <v>6879714.52798686</v>
      </c>
      <c r="AI369" s="68" t="n">
        <f aca="false">SUM(AI361:AI368)</f>
        <v>7015796.18727935</v>
      </c>
      <c r="AJ369" s="68" t="n">
        <f aca="false">SUM(AJ361:AJ368)</f>
        <v>7151829.27307184</v>
      </c>
      <c r="AK369" s="68" t="n">
        <f aca="false">SUM(AK361:AK368)</f>
        <v>6968248.26436434</v>
      </c>
      <c r="AL369" s="68" t="n">
        <f aca="false">SUM(AL361:AL368)</f>
        <v>6951999.33026163</v>
      </c>
      <c r="AM369" s="68" t="n">
        <f aca="false">SUM(AM361:AM368)</f>
        <v>6949268.42415892</v>
      </c>
      <c r="AN369" s="68" t="n">
        <f aca="false">SUM(AN361:AN368)</f>
        <v>7220951.95955621</v>
      </c>
      <c r="AO369" s="68" t="n">
        <f aca="false">SUM(AO361:AO368)</f>
        <v>7130320.58595351</v>
      </c>
      <c r="AP369" s="68" t="n">
        <f aca="false">SUM(AP361:AP368)</f>
        <v>7126565.82933792</v>
      </c>
      <c r="AQ369" s="68" t="n">
        <f aca="false">SUM(AQ361:AQ368)</f>
        <v>7134713.88452156</v>
      </c>
      <c r="AR369" s="68" t="n">
        <f aca="false">SUM(AR361:AR368)</f>
        <v>6904805.70372071</v>
      </c>
      <c r="AS369" s="68" t="n">
        <f aca="false">SUM(AS361:AS368)</f>
        <v>6674897.52291987</v>
      </c>
      <c r="AT369" s="68" t="n">
        <f aca="false">SUM(AT361:AT368)</f>
        <v>6444989.34211903</v>
      </c>
      <c r="AU369" s="68" t="n">
        <f aca="false">SUM(AU361:AU368)</f>
        <v>6215081.16131818</v>
      </c>
      <c r="AV369" s="68" t="n">
        <f aca="false">SUM(AV361:AV368)</f>
        <v>6244034.28660316</v>
      </c>
      <c r="AW369" s="68" t="n">
        <f aca="false">SUM(AW361:AW368)</f>
        <v>6095240.40135868</v>
      </c>
      <c r="AX369" s="68" t="n">
        <f aca="false">SUM(AX361:AX368)</f>
        <v>5693920.65321037</v>
      </c>
      <c r="AY369" s="68" t="n">
        <f aca="false">SUM(AY361:AY368)</f>
        <v>5292600.90506207</v>
      </c>
      <c r="AZ369" s="68" t="n">
        <f aca="false">SUM(AZ361:AZ368)</f>
        <v>4891281.15691377</v>
      </c>
      <c r="BA369" s="68" t="n">
        <f aca="false">SUM(BA361:BA368)</f>
        <v>4489961.40876546</v>
      </c>
      <c r="BB369" s="68" t="n">
        <f aca="false">SUM(BB361:BB368)</f>
        <v>4088641.66061716</v>
      </c>
      <c r="BC369" s="68" t="n">
        <f aca="false">SUM(BC361:BC368)</f>
        <v>3687321.91246885</v>
      </c>
      <c r="BD369" s="68" t="n">
        <f aca="false">SUM(BD361:BD368)</f>
        <v>3286002.16432055</v>
      </c>
      <c r="BE369" s="68" t="n">
        <f aca="false">SUM(BE361:BE368)</f>
        <v>2884682.41617225</v>
      </c>
      <c r="BF369" s="68" t="n">
        <f aca="false">SUM(BF361:BF368)</f>
        <v>2483362.66802394</v>
      </c>
      <c r="BG369" s="68" t="n">
        <f aca="false">SUM(BG361:BG368)</f>
        <v>2082042.91987564</v>
      </c>
      <c r="BH369" s="68" t="n">
        <f aca="false">SUM(BH361:BH368)</f>
        <v>1680723.17172733</v>
      </c>
      <c r="BI369" s="68" t="n">
        <f aca="false">SUM(BI361:BI368)</f>
        <v>1079403.42357903</v>
      </c>
      <c r="BJ369" s="68" t="n">
        <f aca="false">SUM(BJ361:BJ368)</f>
        <v>670468.28046776</v>
      </c>
      <c r="BK369" s="68" t="n">
        <f aca="false">SUM(BK361:BK368)</f>
        <v>261533.13735649</v>
      </c>
      <c r="BL369" s="68" t="n">
        <f aca="false">SUM(BL361:BL368)</f>
        <v>-147402.00575478</v>
      </c>
      <c r="BM369" s="68" t="n">
        <f aca="false">SUM(BM361:BM368)</f>
        <v>-556337.14886605</v>
      </c>
      <c r="BN369" s="68" t="n">
        <f aca="false">SUM(BN361:BN368)</f>
        <v>-965272.29197732</v>
      </c>
      <c r="BO369" s="68" t="n">
        <f aca="false">SUM(BO361:BO368)</f>
        <v>-1374207.43508859</v>
      </c>
      <c r="BP369" s="68" t="n">
        <f aca="false">SUM(BP361:BP368)</f>
        <v>-1783142.57819986</v>
      </c>
      <c r="BQ369" s="68" t="n">
        <f aca="false">SUM(BQ361:BQ368)</f>
        <v>-2192077.72131113</v>
      </c>
      <c r="BR369" s="68" t="n">
        <f aca="false">SUM(BR361:BR368)</f>
        <v>-2601012.8644224</v>
      </c>
      <c r="BS369" s="68" t="n">
        <f aca="false">SUM(BS361:BS368)</f>
        <v>-3009948.00753367</v>
      </c>
      <c r="BT369" s="68" t="n">
        <f aca="false">SUM(BT361:BT368)</f>
        <v>-3418883.15064494</v>
      </c>
      <c r="BU369" s="68" t="n">
        <f aca="false">SUM(BU361:BU368)</f>
        <v>-4027818.29375621</v>
      </c>
      <c r="BV369" s="68" t="n">
        <f aca="false">SUM(BV361:BV368)</f>
        <v>-4444521.13972971</v>
      </c>
      <c r="BW369" s="68" t="n">
        <f aca="false">SUM(BW361:BW368)</f>
        <v>-4861223.9857032</v>
      </c>
      <c r="BX369" s="68" t="n">
        <f aca="false">SUM(BX361:BX368)</f>
        <v>-5277926.8316767</v>
      </c>
      <c r="BY369" s="68" t="n">
        <f aca="false">SUM(BY361:BY368)</f>
        <v>-5694629.67765019</v>
      </c>
      <c r="BZ369" s="68" t="n">
        <f aca="false">SUM(BZ361:BZ368)</f>
        <v>-6111332.52362369</v>
      </c>
      <c r="CA369" s="68" t="n">
        <f aca="false">SUM(CA361:CA368)</f>
        <v>-6528035.36959718</v>
      </c>
      <c r="CB369" s="68" t="n">
        <f aca="false">SUM(CB361:CB368)</f>
        <v>-6944738.21557068</v>
      </c>
      <c r="CC369" s="68" t="n">
        <f aca="false">SUM(CC361:CC368)</f>
        <v>-7361441.06154417</v>
      </c>
      <c r="CD369" s="68" t="n">
        <f aca="false">SUM(CD361:CD368)</f>
        <v>-7778143.90751767</v>
      </c>
      <c r="CE369" s="68" t="n">
        <f aca="false">SUM(CE361:CE368)</f>
        <v>-8194846.75349116</v>
      </c>
      <c r="CF369" s="68" t="n">
        <f aca="false">SUM(CF361:CF368)</f>
        <v>-8611549.59946466</v>
      </c>
      <c r="CG369" s="68" t="n">
        <f aca="false">SUM(CG361:CG368)</f>
        <v>-9228252.44543816</v>
      </c>
      <c r="CH369" s="68" t="n">
        <f aca="false">SUM(CH361:CH368)</f>
        <v>-9652878.34833112</v>
      </c>
      <c r="CI369" s="68" t="n">
        <f aca="false">SUM(CI361:CI368)</f>
        <v>-10077504.2512241</v>
      </c>
      <c r="CJ369" s="68" t="n">
        <f aca="false">SUM(CJ361:CJ368)</f>
        <v>-10502130.1541171</v>
      </c>
      <c r="CK369" s="68" t="n">
        <f aca="false">SUM(CK361:CK368)</f>
        <v>-10926756.05701</v>
      </c>
      <c r="CL369" s="68" t="n">
        <f aca="false">SUM(CL361:CL368)</f>
        <v>-11351381.959903</v>
      </c>
      <c r="CM369" s="68" t="n">
        <f aca="false">SUM(CM361:CM368)</f>
        <v>-11776007.862796</v>
      </c>
      <c r="CN369" s="68" t="n">
        <f aca="false">SUM(CN361:CN368)</f>
        <v>-12200633.7656889</v>
      </c>
      <c r="CO369" s="68" t="n">
        <f aca="false">SUM(CO361:CO368)</f>
        <v>-12625259.6685819</v>
      </c>
      <c r="CP369" s="68" t="n">
        <f aca="false">SUM(CP361:CP368)</f>
        <v>-13049885.5714748</v>
      </c>
      <c r="CQ369" s="68" t="n">
        <f aca="false">SUM(CQ361:CQ368)</f>
        <v>-13474511.4743678</v>
      </c>
      <c r="CR369" s="68" t="n">
        <f aca="false">SUM(CR361:CR368)</f>
        <v>-13899137.3772608</v>
      </c>
      <c r="CS369" s="68" t="n">
        <f aca="false">SUM(CS361:CS368)</f>
        <v>-14523763.2801537</v>
      </c>
      <c r="CT369" s="68" t="n">
        <f aca="false">SUM(CT361:CT368)</f>
        <v>-14915928.5932369</v>
      </c>
      <c r="CU369" s="68" t="n">
        <f aca="false">SUM(CU361:CU368)</f>
        <v>-15308093.90632</v>
      </c>
      <c r="CV369" s="68" t="n">
        <f aca="false">SUM(CV361:CV368)</f>
        <v>-15700259.2194032</v>
      </c>
      <c r="CW369" s="68" t="n">
        <f aca="false">SUM(CW361:CW368)</f>
        <v>-16092424.5324864</v>
      </c>
      <c r="CX369" s="68" t="n">
        <f aca="false">SUM(CX361:CX368)</f>
        <v>-16484589.8455695</v>
      </c>
      <c r="CY369" s="68" t="n">
        <f aca="false">SUM(CY361:CY368)</f>
        <v>-16876755.1586527</v>
      </c>
      <c r="CZ369" s="68" t="n">
        <f aca="false">SUM(CZ361:CZ368)</f>
        <v>-17268920.4717358</v>
      </c>
      <c r="DA369" s="68" t="n">
        <f aca="false">SUM(DA361:DA368)</f>
        <v>-17661085.784819</v>
      </c>
      <c r="DB369" s="68" t="n">
        <f aca="false">SUM(DB361:DB368)</f>
        <v>-18053251.0979021</v>
      </c>
      <c r="DC369" s="68" t="n">
        <f aca="false">SUM(DC361:DC368)</f>
        <v>-18445416.4109853</v>
      </c>
      <c r="DD369" s="68" t="n">
        <f aca="false">SUM(DD361:DD368)</f>
        <v>-18837581.7240684</v>
      </c>
      <c r="DE369" s="68" t="n">
        <f aca="false">SUM(DE361:DE368)</f>
        <v>-19429747.0371516</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196</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197</v>
      </c>
      <c r="B372" s="13"/>
      <c r="C372" s="13"/>
      <c r="D372" s="13"/>
      <c r="E372" s="13"/>
      <c r="F372" s="13"/>
      <c r="G372" s="13"/>
      <c r="H372" s="13"/>
      <c r="I372" s="13"/>
      <c r="J372" s="13"/>
      <c r="K372" s="13" t="n">
        <f aca="false">Assumptions!B30</f>
        <v>298719</v>
      </c>
      <c r="L372" s="13" t="n">
        <f aca="false">K378</f>
        <v>144362.512883333</v>
      </c>
      <c r="M372" s="13" t="n">
        <f aca="false">L378</f>
        <v>-19368.9742333334</v>
      </c>
      <c r="N372" s="13" t="n">
        <f aca="false">M378</f>
        <v>-183100.46135</v>
      </c>
      <c r="O372" s="13" t="n">
        <f aca="false">N378</f>
        <v>-585629.199225359</v>
      </c>
      <c r="P372" s="13" t="n">
        <f aca="false">O378</f>
        <v>-744481.154751675</v>
      </c>
      <c r="Q372" s="13" t="n">
        <f aca="false">P378</f>
        <v>-902417.727244991</v>
      </c>
      <c r="R372" s="13" t="n">
        <f aca="false">Q378</f>
        <v>-1061269.68277131</v>
      </c>
      <c r="S372" s="13" t="n">
        <f aca="false">R378</f>
        <v>-1218371.63829762</v>
      </c>
      <c r="T372" s="13" t="n">
        <f aca="false">S378</f>
        <v>-1375473.59382394</v>
      </c>
      <c r="U372" s="13" t="n">
        <f aca="false">T378</f>
        <v>-1556481.79935025</v>
      </c>
      <c r="V372" s="13" t="n">
        <f aca="false">U378</f>
        <v>-1849490.00487657</v>
      </c>
      <c r="W372" s="13" t="n">
        <f aca="false">V378</f>
        <v>-2142498.21040289</v>
      </c>
      <c r="X372" s="13" t="n">
        <f aca="false">W378</f>
        <v>-2435506.4159292</v>
      </c>
      <c r="Y372" s="13" t="n">
        <f aca="false">X378</f>
        <v>-2728514.62145552</v>
      </c>
      <c r="Z372" s="13" t="n">
        <f aca="false">Y378</f>
        <v>-2964147.82698183</v>
      </c>
      <c r="AA372" s="13" t="n">
        <f aca="false">Z378</f>
        <v>-4204901.52020921</v>
      </c>
      <c r="AB372" s="13" t="n">
        <f aca="false">AA378</f>
        <v>-4751489.44563553</v>
      </c>
      <c r="AC372" s="13" t="n">
        <f aca="false">AB378</f>
        <v>-4990702.37106184</v>
      </c>
      <c r="AD372" s="13" t="n">
        <f aca="false">AC378</f>
        <v>-5287290.29648816</v>
      </c>
      <c r="AE372" s="13" t="n">
        <f aca="false">AD378</f>
        <v>-5583878.22191447</v>
      </c>
      <c r="AF372" s="13" t="n">
        <f aca="false">AE378</f>
        <v>-5823091.14734079</v>
      </c>
      <c r="AG372" s="13" t="n">
        <f aca="false">AF378</f>
        <v>-6119679.0727671</v>
      </c>
      <c r="AH372" s="13" t="n">
        <f aca="false">AG378</f>
        <v>-6419424.89293026</v>
      </c>
      <c r="AI372" s="13" t="n">
        <f aca="false">AH378</f>
        <v>-6722328.60783026</v>
      </c>
      <c r="AJ372" s="13" t="n">
        <f aca="false">AI378</f>
        <v>-7034032.32273026</v>
      </c>
      <c r="AK372" s="13" t="n">
        <f aca="false">AJ378</f>
        <v>-7345736.03763026</v>
      </c>
      <c r="AL372" s="13" t="n">
        <f aca="false">AK378</f>
        <v>-7657439.75253026</v>
      </c>
      <c r="AM372" s="13" t="n">
        <f aca="false">AL378</f>
        <v>-8124006.21398427</v>
      </c>
      <c r="AN372" s="13" t="n">
        <f aca="false">AM378</f>
        <v>-8439361.24318227</v>
      </c>
      <c r="AO372" s="13" t="n">
        <f aca="false">AN378</f>
        <v>-8712835.48046459</v>
      </c>
      <c r="AP372" s="13" t="n">
        <f aca="false">AO378</f>
        <v>-8916190.50966259</v>
      </c>
      <c r="AQ372" s="13" t="n">
        <f aca="false">AP378</f>
        <v>-9119545.53886059</v>
      </c>
      <c r="AR372" s="13" t="n">
        <f aca="false">AQ378</f>
        <v>-9322900.56805859</v>
      </c>
      <c r="AS372" s="13" t="n">
        <f aca="false">AR378</f>
        <v>-9526255.59725659</v>
      </c>
      <c r="AT372" s="13" t="n">
        <f aca="false">AS378</f>
        <v>-9729610.62645459</v>
      </c>
      <c r="AU372" s="13" t="n">
        <f aca="false">AT378</f>
        <v>-9932965.65565259</v>
      </c>
      <c r="AV372" s="13" t="n">
        <f aca="false">AU378</f>
        <v>-10136320.6848506</v>
      </c>
      <c r="AW372" s="13" t="n">
        <f aca="false">AV378</f>
        <v>-10339675.7140486</v>
      </c>
      <c r="AX372" s="13" t="n">
        <f aca="false">AW378</f>
        <v>-10543030.7432466</v>
      </c>
      <c r="AY372" s="13" t="n">
        <f aca="false">AX378</f>
        <v>-10750110.1130286</v>
      </c>
      <c r="AZ372" s="13" t="n">
        <f aca="false">AY378</f>
        <v>-10957189.4828105</v>
      </c>
      <c r="BA372" s="13" t="n">
        <f aca="false">AZ378</f>
        <v>-11164268.8525925</v>
      </c>
      <c r="BB372" s="13" t="n">
        <f aca="false">BA378</f>
        <v>-11371348.2223744</v>
      </c>
      <c r="BC372" s="13" t="n">
        <f aca="false">BB378</f>
        <v>-11578427.5921564</v>
      </c>
      <c r="BD372" s="13" t="n">
        <f aca="false">BC378</f>
        <v>-11785506.9619384</v>
      </c>
      <c r="BE372" s="13" t="n">
        <f aca="false">BD378</f>
        <v>-11992586.3317203</v>
      </c>
      <c r="BF372" s="13" t="n">
        <f aca="false">BE378</f>
        <v>-12199665.7015023</v>
      </c>
      <c r="BG372" s="13" t="n">
        <f aca="false">BF378</f>
        <v>-12406745.0712842</v>
      </c>
      <c r="BH372" s="13" t="n">
        <f aca="false">BG378</f>
        <v>-12613824.4410662</v>
      </c>
      <c r="BI372" s="13" t="n">
        <f aca="false">BH378</f>
        <v>-12820903.8108481</v>
      </c>
      <c r="BJ372" s="13" t="n">
        <f aca="false">BI378</f>
        <v>-13027983.1806301</v>
      </c>
      <c r="BK372" s="13" t="n">
        <f aca="false">BJ378</f>
        <v>-13238861.3778077</v>
      </c>
      <c r="BL372" s="13" t="n">
        <f aca="false">BK378</f>
        <v>-13449739.5749853</v>
      </c>
      <c r="BM372" s="13" t="n">
        <f aca="false">BL378</f>
        <v>-13660617.7721629</v>
      </c>
      <c r="BN372" s="13" t="n">
        <f aca="false">BM378</f>
        <v>-13871495.9693405</v>
      </c>
      <c r="BO372" s="13" t="n">
        <f aca="false">BN378</f>
        <v>-14082374.1665181</v>
      </c>
      <c r="BP372" s="13" t="n">
        <f aca="false">BO378</f>
        <v>-14293252.3636957</v>
      </c>
      <c r="BQ372" s="13" t="n">
        <f aca="false">BP378</f>
        <v>-14504130.5608733</v>
      </c>
      <c r="BR372" s="13" t="n">
        <f aca="false">BQ378</f>
        <v>-14715008.7580509</v>
      </c>
      <c r="BS372" s="13" t="n">
        <f aca="false">BR378</f>
        <v>-14872636.6052285</v>
      </c>
      <c r="BT372" s="13" t="n">
        <f aca="false">BS378</f>
        <v>-15083514.8024061</v>
      </c>
      <c r="BU372" s="13" t="n">
        <f aca="false">BT378</f>
        <v>-15294392.9995837</v>
      </c>
      <c r="BV372" s="13" t="n">
        <f aca="false">BU378</f>
        <v>-15437509.1967613</v>
      </c>
      <c r="BW372" s="13" t="n">
        <f aca="false">BV378</f>
        <v>-15652262.1978825</v>
      </c>
      <c r="BX372" s="13" t="n">
        <f aca="false">BW378</f>
        <v>-15867015.1990036</v>
      </c>
      <c r="BY372" s="13" t="n">
        <f aca="false">BX378</f>
        <v>-16014006.2001248</v>
      </c>
      <c r="BZ372" s="13" t="n">
        <f aca="false">BY378</f>
        <v>-16228759.2012459</v>
      </c>
      <c r="CA372" s="13" t="n">
        <f aca="false">BZ378</f>
        <v>-16443512.2023671</v>
      </c>
      <c r="CB372" s="13" t="n">
        <f aca="false">CA378</f>
        <v>-16590503.2034882</v>
      </c>
      <c r="CC372" s="13" t="n">
        <f aca="false">CB378</f>
        <v>-16805256.2046094</v>
      </c>
      <c r="CD372" s="13" t="n">
        <f aca="false">CC378</f>
        <v>-17020009.2057305</v>
      </c>
      <c r="CE372" s="13" t="n">
        <f aca="false">CD378</f>
        <v>-17158263.2068517</v>
      </c>
      <c r="CF372" s="13" t="n">
        <f aca="false">CE378</f>
        <v>-17373016.2079728</v>
      </c>
      <c r="CG372" s="13" t="n">
        <f aca="false">CF378</f>
        <v>-17587769.209094</v>
      </c>
      <c r="CH372" s="13" t="n">
        <f aca="false">CG378</f>
        <v>-17726023.2102151</v>
      </c>
      <c r="CI372" s="13" t="n">
        <f aca="false">CH378</f>
        <v>-17944728.5113587</v>
      </c>
      <c r="CJ372" s="13" t="n">
        <f aca="false">CI378</f>
        <v>-18163433.8125023</v>
      </c>
      <c r="CK372" s="13" t="n">
        <f aca="false">CJ378</f>
        <v>-18299032.0870394</v>
      </c>
      <c r="CL372" s="13" t="n">
        <f aca="false">CK378</f>
        <v>-18359876.3881829</v>
      </c>
      <c r="CM372" s="13" t="n">
        <f aca="false">CL378</f>
        <v>-18420720.6893265</v>
      </c>
      <c r="CN372" s="13" t="n">
        <f aca="false">CM378</f>
        <v>-18481564.9904701</v>
      </c>
      <c r="CO372" s="13" t="n">
        <f aca="false">CN378</f>
        <v>-18542409.2916137</v>
      </c>
      <c r="CP372" s="13" t="n">
        <f aca="false">CO378</f>
        <v>-18603253.5927572</v>
      </c>
      <c r="CQ372" s="13" t="n">
        <f aca="false">CP378</f>
        <v>-18664097.8939008</v>
      </c>
      <c r="CR372" s="13" t="n">
        <f aca="false">CQ378</f>
        <v>-18724942.1950444</v>
      </c>
      <c r="CS372" s="13" t="n">
        <f aca="false">CR378</f>
        <v>-18785786.496188</v>
      </c>
      <c r="CT372" s="13" t="n">
        <f aca="false">CS378</f>
        <v>-18846630.7973315</v>
      </c>
      <c r="CU372" s="13" t="n">
        <f aca="false">CT378</f>
        <v>-18905527.2962884</v>
      </c>
      <c r="CV372" s="13" t="n">
        <f aca="false">CU378</f>
        <v>-18964423.7952452</v>
      </c>
      <c r="CW372" s="13" t="n">
        <f aca="false">CV378</f>
        <v>-19023320.294202</v>
      </c>
      <c r="CX372" s="13" t="n">
        <f aca="false">CW378</f>
        <v>-19082216.7931588</v>
      </c>
      <c r="CY372" s="13" t="n">
        <f aca="false">CX378</f>
        <v>-19141113.2921156</v>
      </c>
      <c r="CZ372" s="13" t="n">
        <f aca="false">CY378</f>
        <v>-19200009.7910725</v>
      </c>
      <c r="DA372" s="13" t="n">
        <f aca="false">CZ378</f>
        <v>-19258906.2900293</v>
      </c>
      <c r="DB372" s="13" t="n">
        <f aca="false">DA378</f>
        <v>-19317802.7889861</v>
      </c>
      <c r="DC372" s="13" t="n">
        <f aca="false">DB378</f>
        <v>-19376699.2879429</v>
      </c>
      <c r="DD372" s="13" t="n">
        <f aca="false">DC378</f>
        <v>-19435595.7868997</v>
      </c>
      <c r="DE372" s="13" t="n">
        <f aca="false">DD378</f>
        <v>-19494492.2858565</v>
      </c>
    </row>
    <row r="373" customFormat="false" ht="15" hidden="false" customHeight="true" outlineLevel="0" collapsed="false">
      <c r="A373" s="22" t="s">
        <v>198</v>
      </c>
      <c r="B373" s="13"/>
      <c r="C373" s="13"/>
      <c r="D373" s="13"/>
      <c r="E373" s="13"/>
      <c r="F373" s="13"/>
      <c r="G373" s="13"/>
      <c r="H373" s="13"/>
      <c r="I373" s="13"/>
      <c r="J373" s="13"/>
      <c r="K373" s="13" t="n">
        <f aca="false">K293-K258</f>
        <v>-155464.55</v>
      </c>
      <c r="L373" s="13" t="n">
        <f aca="false">L293-L258</f>
        <v>-164839.55</v>
      </c>
      <c r="M373" s="13" t="n">
        <f aca="false">M293-M258</f>
        <v>-164839.55</v>
      </c>
      <c r="N373" s="13" t="n">
        <f aca="false">N293-N258</f>
        <v>-163759.850263158</v>
      </c>
      <c r="O373" s="13" t="n">
        <f aca="false">O293-O258</f>
        <v>-158851.955526316</v>
      </c>
      <c r="P373" s="13" t="n">
        <f aca="false">P293-P258</f>
        <v>-158851.955526316</v>
      </c>
      <c r="Q373" s="13" t="n">
        <f aca="false">Q293-Q258</f>
        <v>-158851.955526316</v>
      </c>
      <c r="R373" s="13" t="n">
        <f aca="false">R293-R258</f>
        <v>-157101.955526316</v>
      </c>
      <c r="S373" s="13" t="n">
        <f aca="false">S293-S258</f>
        <v>-157101.955526316</v>
      </c>
      <c r="T373" s="13" t="n">
        <f aca="false">T293-T258</f>
        <v>-181008.205526316</v>
      </c>
      <c r="U373" s="13" t="n">
        <f aca="false">U293-U258</f>
        <v>-181008.205526316</v>
      </c>
      <c r="V373" s="13" t="n">
        <f aca="false">V293-V258</f>
        <v>-181008.205526316</v>
      </c>
      <c r="W373" s="13" t="n">
        <f aca="false">W293-W258</f>
        <v>-181008.205526316</v>
      </c>
      <c r="X373" s="13" t="n">
        <f aca="false">X293-X258</f>
        <v>-181008.205526316</v>
      </c>
      <c r="Y373" s="13" t="n">
        <f aca="false">Y293-Y258</f>
        <v>-123633.205526316</v>
      </c>
      <c r="Z373" s="13" t="n">
        <f aca="false">Z293-Z258</f>
        <v>-184587.925426316</v>
      </c>
      <c r="AA373" s="13" t="n">
        <f aca="false">AA293-AA258</f>
        <v>-184587.925426316</v>
      </c>
      <c r="AB373" s="13" t="n">
        <f aca="false">AB293-AB258</f>
        <v>-127212.925426316</v>
      </c>
      <c r="AC373" s="13" t="n">
        <f aca="false">AC293-AC258</f>
        <v>-184587.925426316</v>
      </c>
      <c r="AD373" s="13" t="n">
        <f aca="false">AD293-AD258</f>
        <v>-184587.925426316</v>
      </c>
      <c r="AE373" s="13" t="n">
        <f aca="false">AE293-AE258</f>
        <v>-127212.925426316</v>
      </c>
      <c r="AF373" s="13" t="n">
        <f aca="false">AF293-AF258</f>
        <v>-184587.925426316</v>
      </c>
      <c r="AG373" s="13" t="n">
        <f aca="false">AG293-AG258</f>
        <v>-187745.820163158</v>
      </c>
      <c r="AH373" s="13" t="n">
        <f aca="false">AH293-AH258</f>
        <v>-190903.7149</v>
      </c>
      <c r="AI373" s="13" t="n">
        <f aca="false">AI293-AI258</f>
        <v>-199703.7149</v>
      </c>
      <c r="AJ373" s="13" t="n">
        <f aca="false">AJ293-AJ258</f>
        <v>-199703.7149</v>
      </c>
      <c r="AK373" s="13" t="n">
        <f aca="false">AK293-AK258</f>
        <v>-199703.7149</v>
      </c>
      <c r="AL373" s="13" t="n">
        <f aca="false">AL293-AL258</f>
        <v>-203355.029198</v>
      </c>
      <c r="AM373" s="13" t="n">
        <f aca="false">AM293-AM258</f>
        <v>-203355.029198</v>
      </c>
      <c r="AN373" s="13" t="n">
        <f aca="false">AN293-AN258</f>
        <v>-203355.029198</v>
      </c>
      <c r="AO373" s="13" t="n">
        <f aca="false">AO293-AO258</f>
        <v>-203355.029198</v>
      </c>
      <c r="AP373" s="13" t="n">
        <f aca="false">AP293-AP258</f>
        <v>-203355.029198</v>
      </c>
      <c r="AQ373" s="13" t="n">
        <f aca="false">AQ293-AQ258</f>
        <v>-203355.029198</v>
      </c>
      <c r="AR373" s="13" t="n">
        <f aca="false">AR293-AR258</f>
        <v>-203355.029198</v>
      </c>
      <c r="AS373" s="13" t="n">
        <f aca="false">AS293-AS258</f>
        <v>-203355.029198</v>
      </c>
      <c r="AT373" s="13" t="n">
        <f aca="false">AT293-AT258</f>
        <v>-203355.029198</v>
      </c>
      <c r="AU373" s="13" t="n">
        <f aca="false">AU293-AU258</f>
        <v>-203355.029198</v>
      </c>
      <c r="AV373" s="13" t="n">
        <f aca="false">AV293-AV258</f>
        <v>-203355.029198</v>
      </c>
      <c r="AW373" s="13" t="n">
        <f aca="false">AW293-AW258</f>
        <v>-203355.029198</v>
      </c>
      <c r="AX373" s="13" t="n">
        <f aca="false">AX293-AX258</f>
        <v>-207079.36978196</v>
      </c>
      <c r="AY373" s="13" t="n">
        <f aca="false">AY293-AY258</f>
        <v>-207079.36978196</v>
      </c>
      <c r="AZ373" s="13" t="n">
        <f aca="false">AZ293-AZ258</f>
        <v>-207079.36978196</v>
      </c>
      <c r="BA373" s="13" t="n">
        <f aca="false">BA293-BA258</f>
        <v>-207079.36978196</v>
      </c>
      <c r="BB373" s="13" t="n">
        <f aca="false">BB293-BB258</f>
        <v>-207079.36978196</v>
      </c>
      <c r="BC373" s="13" t="n">
        <f aca="false">BC293-BC258</f>
        <v>-207079.36978196</v>
      </c>
      <c r="BD373" s="13" t="n">
        <f aca="false">BD293-BD258</f>
        <v>-207079.36978196</v>
      </c>
      <c r="BE373" s="13" t="n">
        <f aca="false">BE293-BE258</f>
        <v>-207079.36978196</v>
      </c>
      <c r="BF373" s="13" t="n">
        <f aca="false">BF293-BF258</f>
        <v>-207079.36978196</v>
      </c>
      <c r="BG373" s="13" t="n">
        <f aca="false">BG293-BG258</f>
        <v>-207079.36978196</v>
      </c>
      <c r="BH373" s="13" t="n">
        <f aca="false">BH293-BH258</f>
        <v>-207079.36978196</v>
      </c>
      <c r="BI373" s="13" t="n">
        <f aca="false">BI293-BI258</f>
        <v>-207079.36978196</v>
      </c>
      <c r="BJ373" s="13" t="n">
        <f aca="false">BJ293-BJ258</f>
        <v>-210878.197177599</v>
      </c>
      <c r="BK373" s="13" t="n">
        <f aca="false">BK293-BK258</f>
        <v>-210878.197177599</v>
      </c>
      <c r="BL373" s="13" t="n">
        <f aca="false">BL293-BL258</f>
        <v>-210878.197177599</v>
      </c>
      <c r="BM373" s="13" t="n">
        <f aca="false">BM293-BM258</f>
        <v>-210878.197177599</v>
      </c>
      <c r="BN373" s="13" t="n">
        <f aca="false">BN293-BN258</f>
        <v>-210878.197177599</v>
      </c>
      <c r="BO373" s="13" t="n">
        <f aca="false">BO293-BO258</f>
        <v>-210878.197177599</v>
      </c>
      <c r="BP373" s="13" t="n">
        <f aca="false">BP293-BP258</f>
        <v>-210878.197177599</v>
      </c>
      <c r="BQ373" s="13" t="n">
        <f aca="false">BQ293-BQ258</f>
        <v>-210878.197177599</v>
      </c>
      <c r="BR373" s="13" t="n">
        <f aca="false">BR293-BR258</f>
        <v>-157627.847177599</v>
      </c>
      <c r="BS373" s="13" t="n">
        <f aca="false">BS293-BS258</f>
        <v>-210878.197177599</v>
      </c>
      <c r="BT373" s="13" t="n">
        <f aca="false">BT293-BT258</f>
        <v>-210878.197177599</v>
      </c>
      <c r="BU373" s="13" t="n">
        <f aca="false">BU293-BU258</f>
        <v>-143116.197177599</v>
      </c>
      <c r="BV373" s="13" t="n">
        <f aca="false">BV293-BV258</f>
        <v>-214753.001121151</v>
      </c>
      <c r="BW373" s="13" t="n">
        <f aca="false">BW293-BW258</f>
        <v>-214753.001121151</v>
      </c>
      <c r="BX373" s="13" t="n">
        <f aca="false">BX293-BX258</f>
        <v>-146991.001121151</v>
      </c>
      <c r="BY373" s="13" t="n">
        <f aca="false">BY293-BY258</f>
        <v>-214753.001121151</v>
      </c>
      <c r="BZ373" s="13" t="n">
        <f aca="false">BZ293-BZ258</f>
        <v>-214753.001121151</v>
      </c>
      <c r="CA373" s="13" t="n">
        <f aca="false">CA293-CA258</f>
        <v>-146991.001121151</v>
      </c>
      <c r="CB373" s="13" t="n">
        <f aca="false">CB293-CB258</f>
        <v>-214753.001121151</v>
      </c>
      <c r="CC373" s="13" t="n">
        <f aca="false">CC293-CC258</f>
        <v>-214753.001121151</v>
      </c>
      <c r="CD373" s="13" t="n">
        <f aca="false">CD293-CD258</f>
        <v>-138254.001121151</v>
      </c>
      <c r="CE373" s="13" t="n">
        <f aca="false">CE293-CE258</f>
        <v>-214753.001121151</v>
      </c>
      <c r="CF373" s="13" t="n">
        <f aca="false">CF293-CF258</f>
        <v>-214753.001121151</v>
      </c>
      <c r="CG373" s="13" t="n">
        <f aca="false">CG293-CG258</f>
        <v>-138254.001121151</v>
      </c>
      <c r="CH373" s="13" t="n">
        <f aca="false">CH293-CH258</f>
        <v>-218705.301143574</v>
      </c>
      <c r="CI373" s="13" t="n">
        <f aca="false">CI293-CI258</f>
        <v>-218705.301143574</v>
      </c>
      <c r="CJ373" s="13" t="n">
        <f aca="false">CJ293-CJ258</f>
        <v>-135598.274537095</v>
      </c>
      <c r="CK373" s="13" t="n">
        <f aca="false">CK293-CK258</f>
        <v>-60844.3011435742</v>
      </c>
      <c r="CL373" s="13" t="n">
        <f aca="false">CL293-CL258</f>
        <v>-60844.3011435742</v>
      </c>
      <c r="CM373" s="13" t="n">
        <f aca="false">CM293-CM258</f>
        <v>-60844.3011435742</v>
      </c>
      <c r="CN373" s="13" t="n">
        <f aca="false">CN293-CN258</f>
        <v>-60844.3011435742</v>
      </c>
      <c r="CO373" s="13" t="n">
        <f aca="false">CO293-CO258</f>
        <v>-60844.3011435742</v>
      </c>
      <c r="CP373" s="13" t="n">
        <f aca="false">CP293-CP258</f>
        <v>-60844.3011435742</v>
      </c>
      <c r="CQ373" s="13" t="n">
        <f aca="false">CQ293-CQ258</f>
        <v>-60844.3011435742</v>
      </c>
      <c r="CR373" s="13" t="n">
        <f aca="false">CR293-CR258</f>
        <v>-60844.3011435742</v>
      </c>
      <c r="CS373" s="13" t="n">
        <f aca="false">CS293-CS258</f>
        <v>-60844.3011435742</v>
      </c>
      <c r="CT373" s="13" t="n">
        <f aca="false">CT293-CT258</f>
        <v>-58896.4989568171</v>
      </c>
      <c r="CU373" s="13" t="n">
        <f aca="false">CU293-CU258</f>
        <v>-58896.4989568171</v>
      </c>
      <c r="CV373" s="13" t="n">
        <f aca="false">CV293-CV258</f>
        <v>-58896.4989568171</v>
      </c>
      <c r="CW373" s="13" t="n">
        <f aca="false">CW293-CW258</f>
        <v>-58896.4989568171</v>
      </c>
      <c r="CX373" s="13" t="n">
        <f aca="false">CX293-CX258</f>
        <v>-58896.4989568171</v>
      </c>
      <c r="CY373" s="13" t="n">
        <f aca="false">CY293-CY258</f>
        <v>-58896.4989568171</v>
      </c>
      <c r="CZ373" s="13" t="n">
        <f aca="false">CZ293-CZ258</f>
        <v>-58896.4989568171</v>
      </c>
      <c r="DA373" s="13" t="n">
        <f aca="false">DA293-DA258</f>
        <v>-58896.4989568171</v>
      </c>
      <c r="DB373" s="13" t="n">
        <f aca="false">DB293-DB258</f>
        <v>-58896.4989568171</v>
      </c>
      <c r="DC373" s="13" t="n">
        <f aca="false">DC293-DC258</f>
        <v>-58896.4989568171</v>
      </c>
      <c r="DD373" s="13" t="n">
        <f aca="false">DD293-DD258</f>
        <v>-58896.4989568171</v>
      </c>
      <c r="DE373" s="13" t="n">
        <f aca="false">DE293-DE258</f>
        <v>-58896.4989568171</v>
      </c>
    </row>
    <row r="374" customFormat="false" ht="15" hidden="false" customHeight="true" outlineLevel="0" collapsed="false">
      <c r="A374" s="22" t="s">
        <v>199</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200</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201</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202</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203</v>
      </c>
      <c r="B378" s="68"/>
      <c r="C378" s="68"/>
      <c r="D378" s="68"/>
      <c r="E378" s="68"/>
      <c r="F378" s="68"/>
      <c r="G378" s="68"/>
      <c r="H378" s="68"/>
      <c r="I378" s="68"/>
      <c r="J378" s="68"/>
      <c r="K378" s="68" t="n">
        <f aca="false">K372+K373+K375+K376+K377+K374+K382</f>
        <v>144362.512883333</v>
      </c>
      <c r="L378" s="68" t="n">
        <f aca="false">L372+L373+L375+L376+L377+L374+L382</f>
        <v>-19368.9742333334</v>
      </c>
      <c r="M378" s="68" t="n">
        <f aca="false">M372+M373+M375+M376+M377+M374+M382</f>
        <v>-183100.46135</v>
      </c>
      <c r="N378" s="68" t="n">
        <f aca="false">N372+N373+N375+N376+N377+N374+N382</f>
        <v>-585629.199225359</v>
      </c>
      <c r="O378" s="68" t="n">
        <f aca="false">O372+O373+O375+O376+O377+O374+O382</f>
        <v>-744481.154751675</v>
      </c>
      <c r="P378" s="68" t="n">
        <f aca="false">P372+P373+P375+P376+P377+P374+P382</f>
        <v>-902417.727244991</v>
      </c>
      <c r="Q378" s="68" t="n">
        <f aca="false">Q372+Q373+Q375+Q376+Q377+Q374+Q382</f>
        <v>-1061269.68277131</v>
      </c>
      <c r="R378" s="68" t="n">
        <f aca="false">R372+R373+R375+R376+R377+R374+R382</f>
        <v>-1218371.63829762</v>
      </c>
      <c r="S378" s="68" t="n">
        <f aca="false">S372+S373+S375+S376+S377+S374+S382</f>
        <v>-1375473.59382394</v>
      </c>
      <c r="T378" s="68" t="n">
        <f aca="false">T372+T373+T375+T376+T377+T374+T382</f>
        <v>-1556481.79935025</v>
      </c>
      <c r="U378" s="68" t="n">
        <f aca="false">U372+U373+U375+U376+U377+U374+U382</f>
        <v>-1849490.00487657</v>
      </c>
      <c r="V378" s="68" t="n">
        <f aca="false">V372+V373+V375+V376+V377+V374+V382</f>
        <v>-2142498.21040289</v>
      </c>
      <c r="W378" s="68" t="n">
        <f aca="false">W372+W373+W375+W376+W377+W374+W382</f>
        <v>-2435506.4159292</v>
      </c>
      <c r="X378" s="68" t="n">
        <f aca="false">X372+X373+X375+X376+X377+X374+X382</f>
        <v>-2728514.62145552</v>
      </c>
      <c r="Y378" s="68" t="n">
        <f aca="false">Y372+Y373+Y375+Y376+Y377+Y374+Y382</f>
        <v>-2964147.82698183</v>
      </c>
      <c r="Z378" s="68" t="n">
        <f aca="false">Z372+Z373+Z375+Z376+Z377+Z374+Z382</f>
        <v>-4204901.52020921</v>
      </c>
      <c r="AA378" s="68" t="n">
        <f aca="false">AA372+AA373+AA375+AA376+AA377+AA374+AA382</f>
        <v>-4751489.44563553</v>
      </c>
      <c r="AB378" s="68" t="n">
        <f aca="false">AB372+AB373+AB375+AB376+AB377+AB374+AB382</f>
        <v>-4990702.37106184</v>
      </c>
      <c r="AC378" s="68" t="n">
        <f aca="false">AC372+AC373+AC375+AC376+AC377+AC374+AC382</f>
        <v>-5287290.29648816</v>
      </c>
      <c r="AD378" s="68" t="n">
        <f aca="false">AD372+AD373+AD375+AD376+AD377+AD374+AD382</f>
        <v>-5583878.22191447</v>
      </c>
      <c r="AE378" s="68" t="n">
        <f aca="false">AE372+AE373+AE375+AE376+AE377+AE374+AE382</f>
        <v>-5823091.14734079</v>
      </c>
      <c r="AF378" s="68" t="n">
        <f aca="false">AF372+AF373+AF375+AF376+AF377+AF374+AF382</f>
        <v>-6119679.0727671</v>
      </c>
      <c r="AG378" s="68" t="n">
        <f aca="false">AG372+AG373+AG375+AG376+AG377+AG374+AG382</f>
        <v>-6419424.89293026</v>
      </c>
      <c r="AH378" s="68" t="n">
        <f aca="false">AH372+AH373+AH375+AH376+AH377+AH374+AH382</f>
        <v>-6722328.60783026</v>
      </c>
      <c r="AI378" s="68" t="n">
        <f aca="false">AI372+AI373+AI375+AI376+AI377+AI374+AI382</f>
        <v>-7034032.32273026</v>
      </c>
      <c r="AJ378" s="68" t="n">
        <f aca="false">AJ372+AJ373+AJ375+AJ376+AJ377+AJ374+AJ382</f>
        <v>-7345736.03763026</v>
      </c>
      <c r="AK378" s="68" t="n">
        <f aca="false">AK372+AK373+AK375+AK376+AK377+AK374+AK382</f>
        <v>-7657439.75253026</v>
      </c>
      <c r="AL378" s="68" t="n">
        <f aca="false">AL372+AL373+AL375+AL376+AL377+AL374+AL382</f>
        <v>-8124006.21398427</v>
      </c>
      <c r="AM378" s="68" t="n">
        <f aca="false">AM372+AM373+AM375+AM376+AM377+AM374+AM382</f>
        <v>-8439361.24318227</v>
      </c>
      <c r="AN378" s="68" t="n">
        <f aca="false">AN372+AN373+AN375+AN376+AN377+AN374+AN382</f>
        <v>-8712835.48046459</v>
      </c>
      <c r="AO378" s="68" t="n">
        <f aca="false">AO372+AO373+AO375+AO376+AO377+AO374+AO382</f>
        <v>-8916190.50966259</v>
      </c>
      <c r="AP378" s="68" t="n">
        <f aca="false">AP372+AP373+AP375+AP376+AP377+AP374+AP382</f>
        <v>-9119545.53886059</v>
      </c>
      <c r="AQ378" s="68" t="n">
        <f aca="false">AQ372+AQ373+AQ375+AQ376+AQ377+AQ374+AQ382</f>
        <v>-9322900.56805859</v>
      </c>
      <c r="AR378" s="68" t="n">
        <f aca="false">AR372+AR373+AR375+AR376+AR377+AR374+AR382</f>
        <v>-9526255.59725659</v>
      </c>
      <c r="AS378" s="68" t="n">
        <f aca="false">AS372+AS373+AS375+AS376+AS377+AS374+AS382</f>
        <v>-9729610.62645459</v>
      </c>
      <c r="AT378" s="68" t="n">
        <f aca="false">AT372+AT373+AT375+AT376+AT377+AT374+AT382</f>
        <v>-9932965.65565259</v>
      </c>
      <c r="AU378" s="68" t="n">
        <f aca="false">AU372+AU373+AU375+AU376+AU377+AU374+AU382</f>
        <v>-10136320.6848506</v>
      </c>
      <c r="AV378" s="68" t="n">
        <f aca="false">AV372+AV373+AV375+AV376+AV377+AV374+AV382</f>
        <v>-10339675.7140486</v>
      </c>
      <c r="AW378" s="68" t="n">
        <f aca="false">AW372+AW373+AW375+AW376+AW377+AW374+AW382</f>
        <v>-10543030.7432466</v>
      </c>
      <c r="AX378" s="68" t="n">
        <f aca="false">AX372+AX373+AX375+AX376+AX377+AX374+AX382</f>
        <v>-10750110.1130286</v>
      </c>
      <c r="AY378" s="68" t="n">
        <f aca="false">AY372+AY373+AY375+AY376+AY377+AY374+AY382</f>
        <v>-10957189.4828105</v>
      </c>
      <c r="AZ378" s="68" t="n">
        <f aca="false">AZ372+AZ373+AZ375+AZ376+AZ377+AZ374+AZ382</f>
        <v>-11164268.8525925</v>
      </c>
      <c r="BA378" s="68" t="n">
        <f aca="false">BA372+BA373+BA375+BA376+BA377+BA374+BA382</f>
        <v>-11371348.2223744</v>
      </c>
      <c r="BB378" s="68" t="n">
        <f aca="false">BB372+BB373+BB375+BB376+BB377+BB374+BB382</f>
        <v>-11578427.5921564</v>
      </c>
      <c r="BC378" s="68" t="n">
        <f aca="false">BC372+BC373+BC375+BC376+BC377+BC374+BC382</f>
        <v>-11785506.9619384</v>
      </c>
      <c r="BD378" s="68" t="n">
        <f aca="false">BD372+BD373+BD375+BD376+BD377+BD374+BD382</f>
        <v>-11992586.3317203</v>
      </c>
      <c r="BE378" s="68" t="n">
        <f aca="false">BE372+BE373+BE375+BE376+BE377+BE374+BE382</f>
        <v>-12199665.7015023</v>
      </c>
      <c r="BF378" s="68" t="n">
        <f aca="false">BF372+BF373+BF375+BF376+BF377+BF374+BF382</f>
        <v>-12406745.0712842</v>
      </c>
      <c r="BG378" s="68" t="n">
        <f aca="false">BG372+BG373+BG375+BG376+BG377+BG374+BG382</f>
        <v>-12613824.4410662</v>
      </c>
      <c r="BH378" s="68" t="n">
        <f aca="false">BH372+BH373+BH375+BH376+BH377+BH374+BH382</f>
        <v>-12820903.8108481</v>
      </c>
      <c r="BI378" s="68" t="n">
        <f aca="false">BI372+BI373+BI375+BI376+BI377+BI374+BI382</f>
        <v>-13027983.1806301</v>
      </c>
      <c r="BJ378" s="68" t="n">
        <f aca="false">BJ372+BJ373+BJ375+BJ376+BJ377+BJ374+BJ382</f>
        <v>-13238861.3778077</v>
      </c>
      <c r="BK378" s="68" t="n">
        <f aca="false">BK372+BK373+BK375+BK376+BK377+BK374+BK382</f>
        <v>-13449739.5749853</v>
      </c>
      <c r="BL378" s="68" t="n">
        <f aca="false">BL372+BL373+BL375+BL376+BL377+BL374+BL382</f>
        <v>-13660617.7721629</v>
      </c>
      <c r="BM378" s="68" t="n">
        <f aca="false">BM372+BM373+BM375+BM376+BM377+BM374+BM382</f>
        <v>-13871495.9693405</v>
      </c>
      <c r="BN378" s="68" t="n">
        <f aca="false">BN372+BN373+BN375+BN376+BN377+BN374+BN382</f>
        <v>-14082374.1665181</v>
      </c>
      <c r="BO378" s="68" t="n">
        <f aca="false">BO372+BO373+BO375+BO376+BO377+BO374+BO382</f>
        <v>-14293252.3636957</v>
      </c>
      <c r="BP378" s="68" t="n">
        <f aca="false">BP372+BP373+BP375+BP376+BP377+BP374+BP382</f>
        <v>-14504130.5608733</v>
      </c>
      <c r="BQ378" s="68" t="n">
        <f aca="false">BQ372+BQ373+BQ375+BQ376+BQ377+BQ374+BQ382</f>
        <v>-14715008.7580509</v>
      </c>
      <c r="BR378" s="68" t="n">
        <f aca="false">BR372+BR373+BR375+BR376+BR377+BR374+BR382</f>
        <v>-14872636.6052285</v>
      </c>
      <c r="BS378" s="68" t="n">
        <f aca="false">BS372+BS373+BS375+BS376+BS377+BS374+BS382</f>
        <v>-15083514.8024061</v>
      </c>
      <c r="BT378" s="68" t="n">
        <f aca="false">BT372+BT373+BT375+BT376+BT377+BT374+BT382</f>
        <v>-15294392.9995837</v>
      </c>
      <c r="BU378" s="68" t="n">
        <f aca="false">BU372+BU373+BU375+BU376+BU377+BU374+BU382</f>
        <v>-15437509.1967613</v>
      </c>
      <c r="BV378" s="68" t="n">
        <f aca="false">BV372+BV373+BV375+BV376+BV377+BV374+BV382</f>
        <v>-15652262.1978825</v>
      </c>
      <c r="BW378" s="68" t="n">
        <f aca="false">BW372+BW373+BW375+BW376+BW377+BW374+BW382</f>
        <v>-15867015.1990036</v>
      </c>
      <c r="BX378" s="68" t="n">
        <f aca="false">BX372+BX373+BX375+BX376+BX377+BX374+BX382</f>
        <v>-16014006.2001248</v>
      </c>
      <c r="BY378" s="68" t="n">
        <f aca="false">BY372+BY373+BY375+BY376+BY377+BY374+BY382</f>
        <v>-16228759.2012459</v>
      </c>
      <c r="BZ378" s="68" t="n">
        <f aca="false">BZ372+BZ373+BZ375+BZ376+BZ377+BZ374+BZ382</f>
        <v>-16443512.2023671</v>
      </c>
      <c r="CA378" s="68" t="n">
        <f aca="false">CA372+CA373+CA375+CA376+CA377+CA374+CA382</f>
        <v>-16590503.2034882</v>
      </c>
      <c r="CB378" s="68" t="n">
        <f aca="false">CB372+CB373+CB375+CB376+CB377+CB374+CB382</f>
        <v>-16805256.2046094</v>
      </c>
      <c r="CC378" s="68" t="n">
        <f aca="false">CC372+CC373+CC375+CC376+CC377+CC374+CC382</f>
        <v>-17020009.2057305</v>
      </c>
      <c r="CD378" s="68" t="n">
        <f aca="false">CD372+CD373+CD375+CD376+CD377+CD374+CD382</f>
        <v>-17158263.2068517</v>
      </c>
      <c r="CE378" s="68" t="n">
        <f aca="false">CE372+CE373+CE375+CE376+CE377+CE374+CE382</f>
        <v>-17373016.2079728</v>
      </c>
      <c r="CF378" s="68" t="n">
        <f aca="false">CF372+CF373+CF375+CF376+CF377+CF374+CF382</f>
        <v>-17587769.209094</v>
      </c>
      <c r="CG378" s="68" t="n">
        <f aca="false">CG372+CG373+CG375+CG376+CG377+CG374+CG382</f>
        <v>-17726023.2102151</v>
      </c>
      <c r="CH378" s="68" t="n">
        <f aca="false">CH372+CH373+CH375+CH376+CH377+CH374+CH382</f>
        <v>-17944728.5113587</v>
      </c>
      <c r="CI378" s="68" t="n">
        <f aca="false">CI372+CI373+CI375+CI376+CI377+CI374+CI382</f>
        <v>-18163433.8125023</v>
      </c>
      <c r="CJ378" s="68" t="n">
        <f aca="false">CJ372+CJ373+CJ375+CJ376+CJ377+CJ374+CJ382</f>
        <v>-18299032.0870394</v>
      </c>
      <c r="CK378" s="68" t="n">
        <f aca="false">CK372+CK373+CK375+CK376+CK377+CK374+CK382</f>
        <v>-18359876.3881829</v>
      </c>
      <c r="CL378" s="68" t="n">
        <f aca="false">CL372+CL373+CL375+CL376+CL377+CL374+CL382</f>
        <v>-18420720.6893265</v>
      </c>
      <c r="CM378" s="68" t="n">
        <f aca="false">CM372+CM373+CM375+CM376+CM377+CM374+CM382</f>
        <v>-18481564.9904701</v>
      </c>
      <c r="CN378" s="68" t="n">
        <f aca="false">CN372+CN373+CN375+CN376+CN377+CN374+CN382</f>
        <v>-18542409.2916137</v>
      </c>
      <c r="CO378" s="68" t="n">
        <f aca="false">CO372+CO373+CO375+CO376+CO377+CO374+CO382</f>
        <v>-18603253.5927572</v>
      </c>
      <c r="CP378" s="68" t="n">
        <f aca="false">CP372+CP373+CP375+CP376+CP377+CP374+CP382</f>
        <v>-18664097.8939008</v>
      </c>
      <c r="CQ378" s="68" t="n">
        <f aca="false">CQ372+CQ373+CQ375+CQ376+CQ377+CQ374+CQ382</f>
        <v>-18724942.1950444</v>
      </c>
      <c r="CR378" s="68" t="n">
        <f aca="false">CR372+CR373+CR375+CR376+CR377+CR374+CR382</f>
        <v>-18785786.496188</v>
      </c>
      <c r="CS378" s="68" t="n">
        <f aca="false">CS372+CS373+CS375+CS376+CS377+CS374+CS382</f>
        <v>-18846630.7973315</v>
      </c>
      <c r="CT378" s="68" t="n">
        <f aca="false">CT372+CT373+CT375+CT376+CT377+CT374+CT382</f>
        <v>-18905527.2962884</v>
      </c>
      <c r="CU378" s="68" t="n">
        <f aca="false">CU372+CU373+CU375+CU376+CU377+CU374+CU382</f>
        <v>-18964423.7952452</v>
      </c>
      <c r="CV378" s="68" t="n">
        <f aca="false">CV372+CV373+CV375+CV376+CV377+CV374+CV382</f>
        <v>-19023320.294202</v>
      </c>
      <c r="CW378" s="68" t="n">
        <f aca="false">CW372+CW373+CW375+CW376+CW377+CW374+CW382</f>
        <v>-19082216.7931588</v>
      </c>
      <c r="CX378" s="68" t="n">
        <f aca="false">CX372+CX373+CX375+CX376+CX377+CX374+CX382</f>
        <v>-19141113.2921156</v>
      </c>
      <c r="CY378" s="68" t="n">
        <f aca="false">CY372+CY373+CY375+CY376+CY377+CY374+CY382</f>
        <v>-19200009.7910725</v>
      </c>
      <c r="CZ378" s="68" t="n">
        <f aca="false">CZ372+CZ373+CZ375+CZ376+CZ377+CZ374+CZ382</f>
        <v>-19258906.2900293</v>
      </c>
      <c r="DA378" s="68" t="n">
        <f aca="false">DA372+DA373+DA375+DA376+DA377+DA374+DA382</f>
        <v>-19317802.7889861</v>
      </c>
      <c r="DB378" s="68" t="n">
        <f aca="false">DB372+DB373+DB375+DB376+DB377+DB374+DB382</f>
        <v>-19376699.2879429</v>
      </c>
      <c r="DC378" s="68" t="n">
        <f aca="false">DC372+DC373+DC375+DC376+DC377+DC374+DC382</f>
        <v>-19435595.7868997</v>
      </c>
      <c r="DD378" s="68" t="n">
        <f aca="false">DD372+DD373+DD375+DD376+DD377+DD374+DD382</f>
        <v>-19494492.2858565</v>
      </c>
      <c r="DE378" s="68" t="n">
        <f aca="false">DE372+DE373+DE375+DE376+DE377+DE374+DE382</f>
        <v>-19553388.7848134</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204</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205</v>
      </c>
      <c r="B381" s="13"/>
      <c r="C381" s="13"/>
      <c r="D381" s="13"/>
      <c r="E381" s="13"/>
      <c r="F381" s="13"/>
      <c r="G381" s="13"/>
      <c r="H381" s="13"/>
      <c r="I381" s="13"/>
      <c r="J381" s="13"/>
      <c r="K381" s="13" t="n">
        <f aca="false">K361+K372</f>
        <v>1714690</v>
      </c>
      <c r="L381" s="13" t="n">
        <f aca="false">L361+L372</f>
        <v>2425114.98034167</v>
      </c>
      <c r="M381" s="13" t="n">
        <f aca="false">M361+M372</f>
        <v>2030324.82093334</v>
      </c>
      <c r="N381" s="13" t="n">
        <f aca="false">N361+N372</f>
        <v>1787225.81865</v>
      </c>
      <c r="O381" s="13" t="n">
        <f aca="false">O361+O372</f>
        <v>210374.72118871</v>
      </c>
      <c r="P381" s="13" t="n">
        <f aca="false">P361+P372</f>
        <v>234071.981721065</v>
      </c>
      <c r="Q381" s="13" t="n">
        <f aca="false">Q361+Q372</f>
        <v>319342.416767369</v>
      </c>
      <c r="R381" s="13" t="n">
        <f aca="false">R361+R372</f>
        <v>424014.566280673</v>
      </c>
      <c r="S381" s="13" t="n">
        <f aca="false">S361+S372</f>
        <v>506240.376793977</v>
      </c>
      <c r="T381" s="13" t="n">
        <f aca="false">T361+T372</f>
        <v>494783.646146623</v>
      </c>
      <c r="U381" s="13" t="n">
        <f aca="false">U361+U372</f>
        <v>169627.166202617</v>
      </c>
      <c r="V381" s="13" t="n">
        <f aca="false">V361+V372</f>
        <v>485710.726268414</v>
      </c>
      <c r="W381" s="13" t="n">
        <f aca="false">W361+W372</f>
        <v>752013.222334212</v>
      </c>
      <c r="X381" s="13" t="n">
        <f aca="false">X361+X372</f>
        <v>1069249.20640001</v>
      </c>
      <c r="Y381" s="13" t="n">
        <f aca="false">Y361+Y372</f>
        <v>1107439.69946581</v>
      </c>
      <c r="Z381" s="13" t="n">
        <f aca="false">Z361+Z372</f>
        <v>1163243.0685316</v>
      </c>
      <c r="AA381" s="13" t="n">
        <f aca="false">AA361+AA372</f>
        <v>219819.700828643</v>
      </c>
      <c r="AB381" s="13" t="n">
        <f aca="false">AB361+AB372</f>
        <v>183833.872734439</v>
      </c>
      <c r="AC381" s="13" t="n">
        <f aca="false">AC361+AC372</f>
        <v>368753.968338938</v>
      </c>
      <c r="AD381" s="13" t="n">
        <f aca="false">AD361+AD372</f>
        <v>306412.048244734</v>
      </c>
      <c r="AE381" s="13" t="n">
        <f aca="false">AE361+AE372</f>
        <v>151575.294227455</v>
      </c>
      <c r="AF381" s="13" t="n">
        <f aca="false">AF361+AF372</f>
        <v>99098.9431332527</v>
      </c>
      <c r="AG381" s="13" t="n">
        <f aca="false">AG361+AG372</f>
        <v>98557.2524217675</v>
      </c>
      <c r="AH381" s="13" t="n">
        <f aca="false">AH361+AH372</f>
        <v>188128.638302206</v>
      </c>
      <c r="AI381" s="13" t="n">
        <f aca="false">AI361+AI372</f>
        <v>157385.920156598</v>
      </c>
      <c r="AJ381" s="13" t="n">
        <f aca="false">AJ361+AJ372</f>
        <v>-18236.1354509098</v>
      </c>
      <c r="AK381" s="13" t="n">
        <f aca="false">AK361+AK372</f>
        <v>-193906.764558418</v>
      </c>
      <c r="AL381" s="13" t="n">
        <f aca="false">AL361+AL372</f>
        <v>-689191.488165925</v>
      </c>
      <c r="AM381" s="13" t="n">
        <f aca="false">AM361+AM372</f>
        <v>-1172006.88372264</v>
      </c>
      <c r="AN381" s="13" t="n">
        <f aca="false">AN361+AN372</f>
        <v>-1490092.81902335</v>
      </c>
      <c r="AO381" s="13" t="n">
        <f aca="false">AO361+AO372</f>
        <v>-1491883.52090837</v>
      </c>
      <c r="AP381" s="13" t="n">
        <f aca="false">AP361+AP372</f>
        <v>-1785869.92370908</v>
      </c>
      <c r="AQ381" s="13" t="n">
        <f aca="false">AQ361+AQ372</f>
        <v>-1992979.70952267</v>
      </c>
      <c r="AR381" s="13" t="n">
        <f aca="false">AR361+AR372</f>
        <v>-2188186.68353703</v>
      </c>
      <c r="AS381" s="13" t="n">
        <f aca="false">AS361+AS372</f>
        <v>-2621449.89353588</v>
      </c>
      <c r="AT381" s="13" t="n">
        <f aca="false">AT361+AT372</f>
        <v>-3054713.10353472</v>
      </c>
      <c r="AU381" s="13" t="n">
        <f aca="false">AU361+AU372</f>
        <v>-3487976.31353357</v>
      </c>
      <c r="AV381" s="13" t="n">
        <f aca="false">AV361+AV372</f>
        <v>-3921239.52353241</v>
      </c>
      <c r="AW381" s="13" t="n">
        <f aca="false">AW361+AW372</f>
        <v>-4095641.42744543</v>
      </c>
      <c r="AX381" s="13" t="n">
        <f aca="false">AX361+AX372</f>
        <v>-4447790.34188791</v>
      </c>
      <c r="AY381" s="13" t="n">
        <f aca="false">AY361+AY372</f>
        <v>-5056189.45981818</v>
      </c>
      <c r="AZ381" s="13" t="n">
        <f aca="false">AZ361+AZ372</f>
        <v>-5664588.57774844</v>
      </c>
      <c r="BA381" s="13" t="n">
        <f aca="false">BA361+BA372</f>
        <v>-6272987.6956787</v>
      </c>
      <c r="BB381" s="13" t="n">
        <f aca="false">BB361+BB372</f>
        <v>-6881386.81360897</v>
      </c>
      <c r="BC381" s="13" t="n">
        <f aca="false">BC361+BC372</f>
        <v>-7489785.93153923</v>
      </c>
      <c r="BD381" s="13" t="n">
        <f aca="false">BD361+BD372</f>
        <v>-8098185.0494695</v>
      </c>
      <c r="BE381" s="13" t="n">
        <f aca="false">BE361+BE372</f>
        <v>-8706584.16739976</v>
      </c>
      <c r="BF381" s="13" t="n">
        <f aca="false">BF361+BF372</f>
        <v>-9314983.28533002</v>
      </c>
      <c r="BG381" s="13" t="n">
        <f aca="false">BG361+BG372</f>
        <v>-9923382.40326029</v>
      </c>
      <c r="BH381" s="13" t="n">
        <f aca="false">BH361+BH372</f>
        <v>-10531781.5211906</v>
      </c>
      <c r="BI381" s="13" t="n">
        <f aca="false">BI361+BI372</f>
        <v>-11140180.6391208</v>
      </c>
      <c r="BJ381" s="13" t="n">
        <f aca="false">BJ361+BJ372</f>
        <v>-11948579.7570511</v>
      </c>
      <c r="BK381" s="13" t="n">
        <f aca="false">BK361+BK372</f>
        <v>-12568393.0973399</v>
      </c>
      <c r="BL381" s="13" t="n">
        <f aca="false">BL361+BL372</f>
        <v>-13188206.4376288</v>
      </c>
      <c r="BM381" s="13" t="n">
        <f aca="false">BM361+BM372</f>
        <v>-13808019.7779177</v>
      </c>
      <c r="BN381" s="13" t="n">
        <f aca="false">BN361+BN372</f>
        <v>-14427833.1182066</v>
      </c>
      <c r="BO381" s="13" t="n">
        <f aca="false">BO361+BO372</f>
        <v>-15047646.4584954</v>
      </c>
      <c r="BP381" s="13" t="n">
        <f aca="false">BP361+BP372</f>
        <v>-15667459.7987843</v>
      </c>
      <c r="BQ381" s="13" t="n">
        <f aca="false">BQ361+BQ372</f>
        <v>-16287273.1390732</v>
      </c>
      <c r="BR381" s="13" t="n">
        <f aca="false">BR361+BR372</f>
        <v>-16907086.479362</v>
      </c>
      <c r="BS381" s="13" t="n">
        <f aca="false">BS361+BS372</f>
        <v>-17473649.4696509</v>
      </c>
      <c r="BT381" s="13" t="n">
        <f aca="false">BT361+BT372</f>
        <v>-18093462.8099398</v>
      </c>
      <c r="BU381" s="13" t="n">
        <f aca="false">BU361+BU372</f>
        <v>-18713276.1502286</v>
      </c>
      <c r="BV381" s="13" t="n">
        <f aca="false">BV361+BV372</f>
        <v>-19465327.4905175</v>
      </c>
      <c r="BW381" s="13" t="n">
        <f aca="false">BW361+BW372</f>
        <v>-20096783.3376122</v>
      </c>
      <c r="BX381" s="13" t="n">
        <f aca="false">BX361+BX372</f>
        <v>-20728239.1847068</v>
      </c>
      <c r="BY381" s="13" t="n">
        <f aca="false">BY361+BY372</f>
        <v>-21291933.0318015</v>
      </c>
      <c r="BZ381" s="13" t="n">
        <f aca="false">BZ361+BZ372</f>
        <v>-21923388.8788961</v>
      </c>
      <c r="CA381" s="13" t="n">
        <f aca="false">CA361+CA372</f>
        <v>-22554844.7259907</v>
      </c>
      <c r="CB381" s="13" t="n">
        <f aca="false">CB361+CB372</f>
        <v>-23118538.5730854</v>
      </c>
      <c r="CC381" s="13" t="n">
        <f aca="false">CC361+CC372</f>
        <v>-23749994.42018</v>
      </c>
      <c r="CD381" s="13" t="n">
        <f aca="false">CD361+CD372</f>
        <v>-24381450.2672747</v>
      </c>
      <c r="CE381" s="13" t="n">
        <f aca="false">CE361+CE372</f>
        <v>-24936407.1143693</v>
      </c>
      <c r="CF381" s="13" t="n">
        <f aca="false">CF361+CF372</f>
        <v>-25567862.961464</v>
      </c>
      <c r="CG381" s="13" t="n">
        <f aca="false">CG361+CG372</f>
        <v>-26199318.8085586</v>
      </c>
      <c r="CH381" s="13" t="n">
        <f aca="false">CH361+CH372</f>
        <v>-26954275.6556533</v>
      </c>
      <c r="CI381" s="13" t="n">
        <f aca="false">CI361+CI372</f>
        <v>-27597606.8596898</v>
      </c>
      <c r="CJ381" s="13" t="n">
        <f aca="false">CJ361+CJ372</f>
        <v>-28240938.0637264</v>
      </c>
      <c r="CK381" s="13" t="n">
        <f aca="false">CK361+CK372</f>
        <v>-28801162.2411564</v>
      </c>
      <c r="CL381" s="13" t="n">
        <f aca="false">CL361+CL372</f>
        <v>-29286632.445193</v>
      </c>
      <c r="CM381" s="13" t="n">
        <f aca="false">CM361+CM372</f>
        <v>-29772102.6492295</v>
      </c>
      <c r="CN381" s="13" t="n">
        <f aca="false">CN361+CN372</f>
        <v>-30257572.853266</v>
      </c>
      <c r="CO381" s="13" t="n">
        <f aca="false">CO361+CO372</f>
        <v>-30743043.0573026</v>
      </c>
      <c r="CP381" s="13" t="n">
        <f aca="false">CP361+CP372</f>
        <v>-31228513.2613391</v>
      </c>
      <c r="CQ381" s="13" t="n">
        <f aca="false">CQ361+CQ372</f>
        <v>-31713983.4653757</v>
      </c>
      <c r="CR381" s="13" t="n">
        <f aca="false">CR361+CR372</f>
        <v>-32199453.6694122</v>
      </c>
      <c r="CS381" s="13" t="n">
        <f aca="false">CS361+CS372</f>
        <v>-32684923.8734488</v>
      </c>
      <c r="CT381" s="13" t="n">
        <f aca="false">CT361+CT372</f>
        <v>-33370394.0774853</v>
      </c>
      <c r="CU381" s="13" t="n">
        <f aca="false">CU361+CU372</f>
        <v>-33821455.8895253</v>
      </c>
      <c r="CV381" s="13" t="n">
        <f aca="false">CV361+CV372</f>
        <v>-34272517.7015652</v>
      </c>
      <c r="CW381" s="13" t="n">
        <f aca="false">CW361+CW372</f>
        <v>-34723579.5136052</v>
      </c>
      <c r="CX381" s="13" t="n">
        <f aca="false">CX361+CX372</f>
        <v>-35174641.3256452</v>
      </c>
      <c r="CY381" s="13" t="n">
        <f aca="false">CY361+CY372</f>
        <v>-35625703.1376851</v>
      </c>
      <c r="CZ381" s="13" t="n">
        <f aca="false">CZ361+CZ372</f>
        <v>-36076764.9497251</v>
      </c>
      <c r="DA381" s="13" t="n">
        <f aca="false">DA361+DA372</f>
        <v>-36527826.7617651</v>
      </c>
      <c r="DB381" s="13" t="n">
        <f aca="false">DB361+DB372</f>
        <v>-36978888.573805</v>
      </c>
      <c r="DC381" s="13" t="n">
        <f aca="false">DC361+DC372</f>
        <v>-37429950.385845</v>
      </c>
      <c r="DD381" s="13" t="n">
        <f aca="false">DD361+DD372</f>
        <v>-37881012.197885</v>
      </c>
      <c r="DE381" s="13" t="n">
        <f aca="false">DE361+DE372</f>
        <v>-38332074.009925</v>
      </c>
    </row>
    <row r="382" customFormat="false" ht="15" hidden="false" customHeight="true" outlineLevel="0" collapsed="false">
      <c r="A382" s="22" t="s">
        <v>206</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-238768.887612201</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-944165.767801063</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-151211.432256011</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0</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0</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0</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207</v>
      </c>
      <c r="B383" s="68"/>
      <c r="C383" s="68"/>
      <c r="D383" s="68"/>
      <c r="E383" s="68"/>
      <c r="F383" s="68"/>
      <c r="G383" s="68"/>
      <c r="H383" s="68"/>
      <c r="I383" s="68"/>
      <c r="J383" s="68"/>
      <c r="K383" s="68" t="n">
        <f aca="false">K369+K378</f>
        <v>2425114.98034167</v>
      </c>
      <c r="L383" s="68" t="n">
        <f aca="false">L369+L378</f>
        <v>2030324.82093334</v>
      </c>
      <c r="M383" s="68" t="n">
        <f aca="false">M369+M378</f>
        <v>1787225.81865</v>
      </c>
      <c r="N383" s="68" t="n">
        <f aca="false">N369+N378</f>
        <v>210374.72118871</v>
      </c>
      <c r="O383" s="68" t="n">
        <f aca="false">O369+O378</f>
        <v>234071.981721065</v>
      </c>
      <c r="P383" s="68" t="n">
        <f aca="false">P369+P378</f>
        <v>319342.416767369</v>
      </c>
      <c r="Q383" s="68" t="n">
        <f aca="false">Q369+Q378</f>
        <v>424014.566280673</v>
      </c>
      <c r="R383" s="68" t="n">
        <f aca="false">R369+R378</f>
        <v>506240.376793977</v>
      </c>
      <c r="S383" s="68" t="n">
        <f aca="false">S369+S378</f>
        <v>494783.646146623</v>
      </c>
      <c r="T383" s="68" t="n">
        <f aca="false">T369+T378</f>
        <v>169627.166202617</v>
      </c>
      <c r="U383" s="68" t="n">
        <f aca="false">U369+U378</f>
        <v>485710.726268414</v>
      </c>
      <c r="V383" s="68" t="n">
        <f aca="false">V369+V378</f>
        <v>752013.222334212</v>
      </c>
      <c r="W383" s="68" t="n">
        <f aca="false">W369+W378</f>
        <v>1069249.20640001</v>
      </c>
      <c r="X383" s="68" t="n">
        <f aca="false">X369+X378</f>
        <v>1107439.69946581</v>
      </c>
      <c r="Y383" s="68" t="n">
        <f aca="false">Y369+Y378</f>
        <v>1163243.0685316</v>
      </c>
      <c r="Z383" s="68" t="n">
        <f aca="false">Z369+Z378</f>
        <v>219819.700828643</v>
      </c>
      <c r="AA383" s="68" t="n">
        <f aca="false">AA369+AA378</f>
        <v>183833.872734439</v>
      </c>
      <c r="AB383" s="68" t="n">
        <f aca="false">AB369+AB378</f>
        <v>368753.968338938</v>
      </c>
      <c r="AC383" s="68" t="n">
        <f aca="false">AC369+AC378</f>
        <v>306412.048244734</v>
      </c>
      <c r="AD383" s="68" t="n">
        <f aca="false">AD369+AD378</f>
        <v>151575.294227455</v>
      </c>
      <c r="AE383" s="68" t="n">
        <f aca="false">AE369+AE378</f>
        <v>99098.9431332527</v>
      </c>
      <c r="AF383" s="68" t="n">
        <f aca="false">AF369+AF378</f>
        <v>98557.2524217675</v>
      </c>
      <c r="AG383" s="68" t="n">
        <f aca="false">AG369+AG378</f>
        <v>188128.638302206</v>
      </c>
      <c r="AH383" s="68" t="n">
        <f aca="false">AH369+AH378</f>
        <v>157385.920156598</v>
      </c>
      <c r="AI383" s="68" t="n">
        <f aca="false">AI369+AI378</f>
        <v>-18236.1354509098</v>
      </c>
      <c r="AJ383" s="68" t="n">
        <f aca="false">AJ369+AJ378</f>
        <v>-193906.764558418</v>
      </c>
      <c r="AK383" s="68" t="n">
        <f aca="false">AK369+AK378</f>
        <v>-689191.488165925</v>
      </c>
      <c r="AL383" s="68" t="n">
        <f aca="false">AL369+AL378</f>
        <v>-1172006.88372264</v>
      </c>
      <c r="AM383" s="68" t="n">
        <f aca="false">AM369+AM378</f>
        <v>-1490092.81902335</v>
      </c>
      <c r="AN383" s="68" t="n">
        <f aca="false">AN369+AN378</f>
        <v>-1491883.52090837</v>
      </c>
      <c r="AO383" s="68" t="n">
        <f aca="false">AO369+AO378</f>
        <v>-1785869.92370908</v>
      </c>
      <c r="AP383" s="68" t="n">
        <f aca="false">AP369+AP378</f>
        <v>-1992979.70952267</v>
      </c>
      <c r="AQ383" s="68" t="n">
        <f aca="false">AQ369+AQ378</f>
        <v>-2188186.68353703</v>
      </c>
      <c r="AR383" s="68" t="n">
        <f aca="false">AR369+AR378</f>
        <v>-2621449.89353588</v>
      </c>
      <c r="AS383" s="68" t="n">
        <f aca="false">AS369+AS378</f>
        <v>-3054713.10353472</v>
      </c>
      <c r="AT383" s="68" t="n">
        <f aca="false">AT369+AT378</f>
        <v>-3487976.31353357</v>
      </c>
      <c r="AU383" s="68" t="n">
        <f aca="false">AU369+AU378</f>
        <v>-3921239.52353241</v>
      </c>
      <c r="AV383" s="68" t="n">
        <f aca="false">AV369+AV378</f>
        <v>-4095641.42744543</v>
      </c>
      <c r="AW383" s="68" t="n">
        <f aca="false">AW369+AW378</f>
        <v>-4447790.34188791</v>
      </c>
      <c r="AX383" s="68" t="n">
        <f aca="false">AX369+AX378</f>
        <v>-5056189.45981818</v>
      </c>
      <c r="AY383" s="68" t="n">
        <f aca="false">AY369+AY378</f>
        <v>-5664588.57774844</v>
      </c>
      <c r="AZ383" s="68" t="n">
        <f aca="false">AZ369+AZ378</f>
        <v>-6272987.6956787</v>
      </c>
      <c r="BA383" s="68" t="n">
        <f aca="false">BA369+BA378</f>
        <v>-6881386.81360897</v>
      </c>
      <c r="BB383" s="68" t="n">
        <f aca="false">BB369+BB378</f>
        <v>-7489785.93153923</v>
      </c>
      <c r="BC383" s="68" t="n">
        <f aca="false">BC369+BC378</f>
        <v>-8098185.0494695</v>
      </c>
      <c r="BD383" s="68" t="n">
        <f aca="false">BD369+BD378</f>
        <v>-8706584.16739976</v>
      </c>
      <c r="BE383" s="68" t="n">
        <f aca="false">BE369+BE378</f>
        <v>-9314983.28533002</v>
      </c>
      <c r="BF383" s="68" t="n">
        <f aca="false">BF369+BF378</f>
        <v>-9923382.40326029</v>
      </c>
      <c r="BG383" s="68" t="n">
        <f aca="false">BG369+BG378</f>
        <v>-10531781.5211906</v>
      </c>
      <c r="BH383" s="68" t="n">
        <f aca="false">BH369+BH378</f>
        <v>-11140180.6391208</v>
      </c>
      <c r="BI383" s="68" t="n">
        <f aca="false">BI369+BI378</f>
        <v>-11948579.7570511</v>
      </c>
      <c r="BJ383" s="68" t="n">
        <f aca="false">BJ369+BJ378</f>
        <v>-12568393.0973399</v>
      </c>
      <c r="BK383" s="68" t="n">
        <f aca="false">BK369+BK378</f>
        <v>-13188206.4376288</v>
      </c>
      <c r="BL383" s="68" t="n">
        <f aca="false">BL369+BL378</f>
        <v>-13808019.7779177</v>
      </c>
      <c r="BM383" s="68" t="n">
        <f aca="false">BM369+BM378</f>
        <v>-14427833.1182066</v>
      </c>
      <c r="BN383" s="68" t="n">
        <f aca="false">BN369+BN378</f>
        <v>-15047646.4584954</v>
      </c>
      <c r="BO383" s="68" t="n">
        <f aca="false">BO369+BO378</f>
        <v>-15667459.7987843</v>
      </c>
      <c r="BP383" s="68" t="n">
        <f aca="false">BP369+BP378</f>
        <v>-16287273.1390732</v>
      </c>
      <c r="BQ383" s="68" t="n">
        <f aca="false">BQ369+BQ378</f>
        <v>-16907086.479362</v>
      </c>
      <c r="BR383" s="68" t="n">
        <f aca="false">BR369+BR378</f>
        <v>-17473649.4696509</v>
      </c>
      <c r="BS383" s="68" t="n">
        <f aca="false">BS369+BS378</f>
        <v>-18093462.8099398</v>
      </c>
      <c r="BT383" s="68" t="n">
        <f aca="false">BT369+BT378</f>
        <v>-18713276.1502286</v>
      </c>
      <c r="BU383" s="68" t="n">
        <f aca="false">BU369+BU378</f>
        <v>-19465327.4905175</v>
      </c>
      <c r="BV383" s="68" t="n">
        <f aca="false">BV369+BV378</f>
        <v>-20096783.3376122</v>
      </c>
      <c r="BW383" s="68" t="n">
        <f aca="false">BW369+BW378</f>
        <v>-20728239.1847068</v>
      </c>
      <c r="BX383" s="68" t="n">
        <f aca="false">BX369+BX378</f>
        <v>-21291933.0318015</v>
      </c>
      <c r="BY383" s="68" t="n">
        <f aca="false">BY369+BY378</f>
        <v>-21923388.8788961</v>
      </c>
      <c r="BZ383" s="68" t="n">
        <f aca="false">BZ369+BZ378</f>
        <v>-22554844.7259907</v>
      </c>
      <c r="CA383" s="68" t="n">
        <f aca="false">CA369+CA378</f>
        <v>-23118538.5730854</v>
      </c>
      <c r="CB383" s="68" t="n">
        <f aca="false">CB369+CB378</f>
        <v>-23749994.42018</v>
      </c>
      <c r="CC383" s="68" t="n">
        <f aca="false">CC369+CC378</f>
        <v>-24381450.2672747</v>
      </c>
      <c r="CD383" s="68" t="n">
        <f aca="false">CD369+CD378</f>
        <v>-24936407.1143693</v>
      </c>
      <c r="CE383" s="68" t="n">
        <f aca="false">CE369+CE378</f>
        <v>-25567862.961464</v>
      </c>
      <c r="CF383" s="68" t="n">
        <f aca="false">CF369+CF378</f>
        <v>-26199318.8085586</v>
      </c>
      <c r="CG383" s="68" t="n">
        <f aca="false">CG369+CG378</f>
        <v>-26954275.6556533</v>
      </c>
      <c r="CH383" s="68" t="n">
        <f aca="false">CH369+CH378</f>
        <v>-27597606.8596898</v>
      </c>
      <c r="CI383" s="68" t="n">
        <f aca="false">CI369+CI378</f>
        <v>-28240938.0637264</v>
      </c>
      <c r="CJ383" s="68" t="n">
        <f aca="false">CJ369+CJ378</f>
        <v>-28801162.2411564</v>
      </c>
      <c r="CK383" s="68" t="n">
        <f aca="false">CK369+CK378</f>
        <v>-29286632.445193</v>
      </c>
      <c r="CL383" s="68" t="n">
        <f aca="false">CL369+CL378</f>
        <v>-29772102.6492295</v>
      </c>
      <c r="CM383" s="68" t="n">
        <f aca="false">CM369+CM378</f>
        <v>-30257572.853266</v>
      </c>
      <c r="CN383" s="68" t="n">
        <f aca="false">CN369+CN378</f>
        <v>-30743043.0573026</v>
      </c>
      <c r="CO383" s="68" t="n">
        <f aca="false">CO369+CO378</f>
        <v>-31228513.2613391</v>
      </c>
      <c r="CP383" s="68" t="n">
        <f aca="false">CP369+CP378</f>
        <v>-31713983.4653757</v>
      </c>
      <c r="CQ383" s="68" t="n">
        <f aca="false">CQ369+CQ378</f>
        <v>-32199453.6694122</v>
      </c>
      <c r="CR383" s="68" t="n">
        <f aca="false">CR369+CR378</f>
        <v>-32684923.8734488</v>
      </c>
      <c r="CS383" s="68" t="n">
        <f aca="false">CS369+CS378</f>
        <v>-33370394.0774853</v>
      </c>
      <c r="CT383" s="68" t="n">
        <f aca="false">CT369+CT378</f>
        <v>-33821455.8895253</v>
      </c>
      <c r="CU383" s="68" t="n">
        <f aca="false">CU369+CU378</f>
        <v>-34272517.7015652</v>
      </c>
      <c r="CV383" s="68" t="n">
        <f aca="false">CV369+CV378</f>
        <v>-34723579.5136052</v>
      </c>
      <c r="CW383" s="68" t="n">
        <f aca="false">CW369+CW378</f>
        <v>-35174641.3256452</v>
      </c>
      <c r="CX383" s="68" t="n">
        <f aca="false">CX369+CX378</f>
        <v>-35625703.1376851</v>
      </c>
      <c r="CY383" s="68" t="n">
        <f aca="false">CY369+CY378</f>
        <v>-36076764.9497251</v>
      </c>
      <c r="CZ383" s="68" t="n">
        <f aca="false">CZ369+CZ378</f>
        <v>-36527826.7617651</v>
      </c>
      <c r="DA383" s="68" t="n">
        <f aca="false">DA369+DA378</f>
        <v>-36978888.573805</v>
      </c>
      <c r="DB383" s="68" t="n">
        <f aca="false">DB369+DB378</f>
        <v>-37429950.385845</v>
      </c>
      <c r="DC383" s="68" t="n">
        <f aca="false">DC369+DC378</f>
        <v>-37881012.197885</v>
      </c>
      <c r="DD383" s="68" t="n">
        <f aca="false">DD369+DD378</f>
        <v>-38332074.009925</v>
      </c>
      <c r="DE383" s="68" t="n">
        <f aca="false">DE369+DE378</f>
        <v>-38983135.8219649</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208</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209</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210</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211</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212</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213</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214</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215</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216</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217</v>
      </c>
      <c r="B397" s="73" t="n">
        <v>680024</v>
      </c>
      <c r="C397" s="73" t="n">
        <v>115848</v>
      </c>
      <c r="D397" s="73" t="n">
        <v>633520</v>
      </c>
      <c r="E397" s="73" t="n">
        <v>394004</v>
      </c>
      <c r="F397" s="73" t="n">
        <v>501967</v>
      </c>
      <c r="G397" s="73" t="n">
        <v>306139</v>
      </c>
      <c r="H397" s="73" t="n">
        <v>283340</v>
      </c>
      <c r="I397" s="7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218</v>
      </c>
      <c r="B398" s="73" t="n">
        <v>340025.08</v>
      </c>
      <c r="C398" s="73" t="n">
        <v>-261834.01</v>
      </c>
      <c r="D398" s="73" t="n">
        <v>193556.06</v>
      </c>
      <c r="E398" s="73" t="n">
        <v>189693.03</v>
      </c>
      <c r="F398" s="73" t="n">
        <v>158202.61</v>
      </c>
      <c r="G398" s="73" t="n">
        <v>93567.49</v>
      </c>
      <c r="H398" s="73" t="n">
        <v>-24341.08</v>
      </c>
      <c r="I398" s="7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219</v>
      </c>
      <c r="B399" s="73" t="n">
        <v>250140</v>
      </c>
      <c r="C399" s="73" t="n">
        <v>142.7</v>
      </c>
      <c r="D399" s="73" t="n">
        <v>142.7</v>
      </c>
      <c r="E399" s="73" t="n">
        <v>142.7</v>
      </c>
      <c r="F399" s="73" t="n">
        <v>142.7</v>
      </c>
      <c r="G399" s="73" t="n">
        <v>142.7</v>
      </c>
      <c r="H399" s="73" t="n">
        <v>142.7</v>
      </c>
      <c r="I399" s="7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220</v>
      </c>
      <c r="B400" s="73" t="n">
        <v>89759.22</v>
      </c>
      <c r="C400" s="73" t="n">
        <v>377339.45</v>
      </c>
      <c r="D400" s="73" t="n">
        <v>439621.63</v>
      </c>
      <c r="E400" s="73" t="n">
        <v>203968.72</v>
      </c>
      <c r="F400" s="73" t="n">
        <v>343421.93</v>
      </c>
      <c r="G400" s="73" t="n">
        <v>212228.57</v>
      </c>
      <c r="H400" s="73" t="n">
        <v>307338.39</v>
      </c>
      <c r="I400" s="7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221</v>
      </c>
      <c r="B401" s="73" t="n">
        <v>100</v>
      </c>
      <c r="C401" s="73" t="n">
        <v>200</v>
      </c>
      <c r="D401" s="73" t="n">
        <v>200</v>
      </c>
      <c r="E401" s="73" t="n">
        <v>200</v>
      </c>
      <c r="F401" s="73" t="n">
        <v>200</v>
      </c>
      <c r="G401" s="73" t="n">
        <v>200</v>
      </c>
      <c r="H401" s="73" t="n">
        <v>200</v>
      </c>
      <c r="I401" s="7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222</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223</v>
      </c>
      <c r="B403" s="73" t="n">
        <v>378187</v>
      </c>
      <c r="C403" s="73" t="n">
        <v>110882</v>
      </c>
      <c r="D403" s="73" t="n">
        <v>171148</v>
      </c>
      <c r="E403" s="73" t="n">
        <v>368691</v>
      </c>
      <c r="F403" s="73" t="n">
        <v>343251</v>
      </c>
      <c r="G403" s="73" t="n">
        <v>665368</v>
      </c>
      <c r="H403" s="73" t="n">
        <v>122223</v>
      </c>
      <c r="I403" s="7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224</v>
      </c>
      <c r="B404" s="73" t="n">
        <v>369156.23</v>
      </c>
      <c r="C404" s="73" t="n">
        <v>110746.48</v>
      </c>
      <c r="D404" s="73" t="n">
        <v>171012.63</v>
      </c>
      <c r="E404" s="73" t="n">
        <v>368555.41</v>
      </c>
      <c r="F404" s="73" t="n">
        <v>343114.99</v>
      </c>
      <c r="G404" s="73" t="n">
        <v>665232.34</v>
      </c>
      <c r="H404" s="73" t="n">
        <v>122087.33</v>
      </c>
      <c r="I404" s="7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225</v>
      </c>
      <c r="B405" s="73" t="n">
        <v>23.76</v>
      </c>
      <c r="C405" s="73" t="n">
        <v>23.76</v>
      </c>
      <c r="D405" s="73" t="n">
        <v>23.76</v>
      </c>
      <c r="E405" s="73" t="n">
        <v>23.76</v>
      </c>
      <c r="F405" s="73" t="n">
        <v>23.76</v>
      </c>
      <c r="G405" s="73" t="n">
        <v>23.76</v>
      </c>
      <c r="H405" s="73" t="n">
        <v>23.76</v>
      </c>
      <c r="I405" s="7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226</v>
      </c>
      <c r="B406" s="73" t="n">
        <v>9006.61</v>
      </c>
      <c r="C406" s="73" t="n">
        <v>112</v>
      </c>
      <c r="D406" s="73" t="n">
        <v>112</v>
      </c>
      <c r="E406" s="73" t="n">
        <v>112</v>
      </c>
      <c r="F406" s="73" t="n">
        <v>112</v>
      </c>
      <c r="G406" s="73" t="n">
        <v>112</v>
      </c>
      <c r="H406" s="73" t="n">
        <v>112</v>
      </c>
      <c r="I406" s="7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227</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228</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229</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230</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3.5" hidden="false" customHeight="true" outlineLevel="0" collapsed="false">
      <c r="A412" s="22" t="s">
        <v>231</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2280752.46745833</v>
      </c>
      <c r="L412" s="13" t="n">
        <f aca="false">IF(L$4="Actuals",IF(M$4="Actuals","",M361),L369)</f>
        <v>2049693.79516667</v>
      </c>
      <c r="M412" s="13" t="n">
        <f aca="false">IF(M$4="Actuals",IF(N$4="Actuals","",N361),M369)</f>
        <v>1970326.28</v>
      </c>
      <c r="N412" s="13" t="n">
        <f aca="false">IF(N$4="Actuals",IF(O$4="Actuals","",O361),N369)</f>
        <v>796003.920414069</v>
      </c>
      <c r="O412" s="13" t="n">
        <f aca="false">IF(O$4="Actuals",IF(P$4="Actuals","",P361),O369)</f>
        <v>978553.13647274</v>
      </c>
      <c r="P412" s="13" t="n">
        <f aca="false">IF(P$4="Actuals",IF(Q$4="Actuals","",Q361),P369)</f>
        <v>1221760.14401236</v>
      </c>
      <c r="Q412" s="13" t="n">
        <f aca="false">IF(Q$4="Actuals",IF(R$4="Actuals","",R361),Q369)</f>
        <v>1485284.24905198</v>
      </c>
      <c r="R412" s="13" t="n">
        <f aca="false">IF(R$4="Actuals",IF(S$4="Actuals","",S361),R369)</f>
        <v>1724612.0150916</v>
      </c>
      <c r="S412" s="13" t="n">
        <f aca="false">IF(S$4="Actuals",IF(T$4="Actuals","",T361),S369)</f>
        <v>1870257.23997056</v>
      </c>
      <c r="T412" s="13" t="n">
        <f aca="false">IF(T$4="Actuals",IF(U$4="Actuals","",U361),T369)</f>
        <v>1726108.96555287</v>
      </c>
      <c r="U412" s="13" t="n">
        <f aca="false">IF(U$4="Actuals",IF(V$4="Actuals","",V361),U369)</f>
        <v>2335200.73114498</v>
      </c>
      <c r="V412" s="13" t="n">
        <f aca="false">IF(V$4="Actuals",IF(W$4="Actuals","",W361),V369)</f>
        <v>2894511.4327371</v>
      </c>
      <c r="W412" s="13" t="n">
        <f aca="false">IF(W$4="Actuals",IF(X$4="Actuals","",X361),W369)</f>
        <v>3504755.62232921</v>
      </c>
      <c r="X412" s="13" t="n">
        <f aca="false">IF(X$4="Actuals",IF(Y$4="Actuals","",Y361),X369)</f>
        <v>3835954.32092132</v>
      </c>
      <c r="Y412" s="13" t="n">
        <f aca="false">IF(Y$4="Actuals",IF(Z$4="Actuals","",Z361),Y369)</f>
        <v>4127390.89551343</v>
      </c>
      <c r="Z412" s="13" t="n">
        <f aca="false">IF(Z$4="Actuals",IF(AA$4="Actuals","",AA361),Z369)</f>
        <v>4424721.22103785</v>
      </c>
      <c r="AA412" s="13" t="n">
        <f aca="false">IF(AA$4="Actuals",IF(AB$4="Actuals","",AB361),AA369)</f>
        <v>4935323.31836997</v>
      </c>
      <c r="AB412" s="13" t="n">
        <f aca="false">IF(AB$4="Actuals",IF(AC$4="Actuals","",AC361),AB369)</f>
        <v>5359456.33940078</v>
      </c>
      <c r="AC412" s="13" t="n">
        <f aca="false">IF(AC$4="Actuals",IF(AD$4="Actuals","",AD361),AC369)</f>
        <v>5593702.34473289</v>
      </c>
      <c r="AD412" s="13" t="n">
        <f aca="false">IF(AD$4="Actuals",IF(AE$4="Actuals","",AE361),AD369)</f>
        <v>5735453.51614193</v>
      </c>
      <c r="AE412" s="13" t="n">
        <f aca="false">IF(AE$4="Actuals",IF(AF$4="Actuals","",AF361),AE369)</f>
        <v>5922190.09047404</v>
      </c>
      <c r="AF412" s="13" t="n">
        <f aca="false">IF(AF$4="Actuals",IF(AG$4="Actuals","",AG361),AF369)</f>
        <v>6218236.32518887</v>
      </c>
      <c r="AG412" s="13" t="n">
        <f aca="false">IF(AG$4="Actuals",IF(AH$4="Actuals","",AH361),AG369)</f>
        <v>6607553.53123247</v>
      </c>
      <c r="AH412" s="13" t="n">
        <f aca="false">IF(AH$4="Actuals",IF(AI$4="Actuals","",AI361),AH369)</f>
        <v>6879714.52798686</v>
      </c>
      <c r="AI412" s="13" t="n">
        <f aca="false">IF(AI$4="Actuals",IF(AJ$4="Actuals","",AJ361),AI369)</f>
        <v>7015796.18727935</v>
      </c>
      <c r="AJ412" s="13" t="n">
        <f aca="false">IF(AJ$4="Actuals",IF(AK$4="Actuals","",AK361),AJ369)</f>
        <v>7151829.27307184</v>
      </c>
      <c r="AK412" s="13" t="n">
        <f aca="false">IF(AK$4="Actuals",IF(AL$4="Actuals","",AL361),AK369)</f>
        <v>6968248.26436434</v>
      </c>
      <c r="AL412" s="13" t="n">
        <f aca="false">IF(AL$4="Actuals",IF(AM$4="Actuals","",AM361),AL369)</f>
        <v>6951999.33026163</v>
      </c>
      <c r="AM412" s="13" t="n">
        <f aca="false">IF(AM$4="Actuals",IF(AN$4="Actuals","",AN361),AM369)</f>
        <v>6949268.42415892</v>
      </c>
      <c r="AN412" s="13" t="n">
        <f aca="false">IF(AN$4="Actuals",IF(AO$4="Actuals","",AO361),AN369)</f>
        <v>7220951.95955621</v>
      </c>
      <c r="AO412" s="13" t="n">
        <f aca="false">IF(AO$4="Actuals",IF(AP$4="Actuals","",AP361),AO369)</f>
        <v>7130320.58595351</v>
      </c>
      <c r="AP412" s="13" t="n">
        <f aca="false">IF(AP$4="Actuals",IF(AQ$4="Actuals","",AQ361),AP369)</f>
        <v>7126565.82933792</v>
      </c>
      <c r="AQ412" s="13" t="n">
        <f aca="false">IF(AQ$4="Actuals",IF(AR$4="Actuals","",AR361),AQ369)</f>
        <v>7134713.88452156</v>
      </c>
      <c r="AR412" s="13" t="n">
        <f aca="false">IF(AR$4="Actuals",IF(AS$4="Actuals","",AS361),AR369)</f>
        <v>6904805.70372071</v>
      </c>
      <c r="AS412" s="13" t="n">
        <f aca="false">IF(AS$4="Actuals",IF(AT$4="Actuals","",AT361),AS369)</f>
        <v>6674897.52291987</v>
      </c>
      <c r="AT412" s="13" t="n">
        <f aca="false">IF(AT$4="Actuals",IF(AU$4="Actuals","",AU361),AT369)</f>
        <v>6444989.34211903</v>
      </c>
      <c r="AU412" s="13" t="n">
        <f aca="false">IF(AU$4="Actuals",IF(AV$4="Actuals","",AV361),AU369)</f>
        <v>6215081.16131818</v>
      </c>
      <c r="AV412" s="13" t="n">
        <f aca="false">IF(AV$4="Actuals",IF(AW$4="Actuals","",AW361),AV369)</f>
        <v>6244034.28660316</v>
      </c>
      <c r="AW412" s="13" t="n">
        <f aca="false">IF(AW$4="Actuals",IF(AX$4="Actuals","",AX361),AW369)</f>
        <v>6095240.40135868</v>
      </c>
      <c r="AX412" s="13" t="n">
        <f aca="false">IF(AX$4="Actuals",IF(AY$4="Actuals","",AY361),AX369)</f>
        <v>5693920.65321037</v>
      </c>
      <c r="AY412" s="13" t="n">
        <f aca="false">IF(AY$4="Actuals",IF(AZ$4="Actuals","",AZ361),AY369)</f>
        <v>5292600.90506207</v>
      </c>
      <c r="AZ412" s="13" t="n">
        <f aca="false">IF(AZ$4="Actuals",IF(BA$4="Actuals","",BA361),AZ369)</f>
        <v>4891281.15691377</v>
      </c>
      <c r="BA412" s="13" t="n">
        <f aca="false">IF(BA$4="Actuals",IF(BB$4="Actuals","",BB361),BA369)</f>
        <v>4489961.40876546</v>
      </c>
      <c r="BB412" s="13" t="n">
        <f aca="false">IF(BB$4="Actuals",IF(BC$4="Actuals","",BC361),BB369)</f>
        <v>4088641.66061716</v>
      </c>
      <c r="BC412" s="13" t="n">
        <f aca="false">IF(BC$4="Actuals",IF(BD$4="Actuals","",BD361),BC369)</f>
        <v>3687321.91246885</v>
      </c>
      <c r="BD412" s="13" t="n">
        <f aca="false">IF(BD$4="Actuals",IF(BE$4="Actuals","",BE361),BD369)</f>
        <v>3286002.16432055</v>
      </c>
      <c r="BE412" s="13" t="n">
        <f aca="false">IF(BE$4="Actuals",IF(BF$4="Actuals","",BF361),BE369)</f>
        <v>2884682.41617225</v>
      </c>
      <c r="BF412" s="13" t="n">
        <f aca="false">IF(BF$4="Actuals",IF(BG$4="Actuals","",BG361),BF369)</f>
        <v>2483362.66802394</v>
      </c>
      <c r="BG412" s="13" t="n">
        <f aca="false">IF(BG$4="Actuals",IF(BH$4="Actuals","",BH361),BG369)</f>
        <v>2082042.91987564</v>
      </c>
      <c r="BH412" s="13" t="n">
        <f aca="false">IF(BH$4="Actuals",IF(BI$4="Actuals","",BI361),BH369)</f>
        <v>1680723.17172733</v>
      </c>
      <c r="BI412" s="13" t="n">
        <f aca="false">IF(BI$4="Actuals",IF(BJ$4="Actuals","",BJ361),BI369)</f>
        <v>1079403.42357903</v>
      </c>
      <c r="BJ412" s="13" t="n">
        <f aca="false">IF(BJ$4="Actuals",IF(BK$4="Actuals","",BK361),BJ369)</f>
        <v>670468.28046776</v>
      </c>
      <c r="BK412" s="13" t="n">
        <f aca="false">IF(BK$4="Actuals",IF(BL$4="Actuals","",BL361),BK369)</f>
        <v>261533.13735649</v>
      </c>
      <c r="BL412" s="13" t="n">
        <f aca="false">IF(BL$4="Actuals",IF(BM$4="Actuals","",BM361),BL369)</f>
        <v>-147402.00575478</v>
      </c>
      <c r="BM412" s="13" t="n">
        <f aca="false">IF(BM$4="Actuals",IF(BN$4="Actuals","",BN361),BM369)</f>
        <v>-556337.14886605</v>
      </c>
      <c r="BN412" s="13" t="n">
        <f aca="false">IF(BN$4="Actuals",IF(BO$4="Actuals","",BO361),BN369)</f>
        <v>-965272.29197732</v>
      </c>
      <c r="BO412" s="13" t="n">
        <f aca="false">IF(BO$4="Actuals",IF(BP$4="Actuals","",BP361),BO369)</f>
        <v>-1374207.43508859</v>
      </c>
      <c r="BP412" s="13" t="n">
        <f aca="false">IF(BP$4="Actuals",IF(BQ$4="Actuals","",BQ361),BP369)</f>
        <v>-1783142.57819986</v>
      </c>
      <c r="BQ412" s="13" t="n">
        <f aca="false">IF(BQ$4="Actuals",IF(BR$4="Actuals","",BR361),BQ369)</f>
        <v>-2192077.72131113</v>
      </c>
      <c r="BR412" s="13" t="n">
        <f aca="false">IF(BR$4="Actuals",IF(BS$4="Actuals","",BS361),BR369)</f>
        <v>-2601012.8644224</v>
      </c>
      <c r="BS412" s="13" t="n">
        <f aca="false">IF(BS$4="Actuals",IF(BT$4="Actuals","",BT361),BS369)</f>
        <v>-3009948.00753367</v>
      </c>
      <c r="BT412" s="13" t="n">
        <f aca="false">IF(BT$4="Actuals",IF(BU$4="Actuals","",BU361),BT369)</f>
        <v>-3418883.15064494</v>
      </c>
      <c r="BU412" s="13" t="n">
        <f aca="false">IF(BU$4="Actuals",IF(BV$4="Actuals","",BV361),BU369)</f>
        <v>-4027818.29375621</v>
      </c>
      <c r="BV412" s="13" t="n">
        <f aca="false">IF(BV$4="Actuals",IF(BW$4="Actuals","",BW361),BV369)</f>
        <v>-4444521.13972971</v>
      </c>
      <c r="BW412" s="13" t="n">
        <f aca="false">IF(BW$4="Actuals",IF(BX$4="Actuals","",BX361),BW369)</f>
        <v>-4861223.9857032</v>
      </c>
      <c r="BX412" s="13" t="n">
        <f aca="false">IF(BX$4="Actuals",IF(BY$4="Actuals","",BY361),BX369)</f>
        <v>-5277926.8316767</v>
      </c>
      <c r="BY412" s="13" t="n">
        <f aca="false">IF(BY$4="Actuals",IF(BZ$4="Actuals","",BZ361),BY369)</f>
        <v>-5694629.67765019</v>
      </c>
      <c r="BZ412" s="13" t="n">
        <f aca="false">IF(BZ$4="Actuals",IF(CA$4="Actuals","",CA361),BZ369)</f>
        <v>-6111332.52362369</v>
      </c>
      <c r="CA412" s="13" t="n">
        <f aca="false">IF(CA$4="Actuals",IF(CB$4="Actuals","",CB361),CA369)</f>
        <v>-6528035.36959718</v>
      </c>
      <c r="CB412" s="13" t="n">
        <f aca="false">IF(CB$4="Actuals",IF(CC$4="Actuals","",CC361),CB369)</f>
        <v>-6944738.21557068</v>
      </c>
      <c r="CC412" s="13" t="n">
        <f aca="false">IF(CC$4="Actuals",IF(CD$4="Actuals","",CD361),CC369)</f>
        <v>-7361441.06154417</v>
      </c>
      <c r="CD412" s="13" t="n">
        <f aca="false">IF(CD$4="Actuals",IF(CE$4="Actuals","",CE361),CD369)</f>
        <v>-7778143.90751767</v>
      </c>
      <c r="CE412" s="13" t="n">
        <f aca="false">IF(CE$4="Actuals",IF(CF$4="Actuals","",CF361),CE369)</f>
        <v>-8194846.75349116</v>
      </c>
      <c r="CF412" s="13" t="n">
        <f aca="false">IF(CF$4="Actuals",IF(CG$4="Actuals","",CG361),CF369)</f>
        <v>-8611549.59946466</v>
      </c>
      <c r="CG412" s="13" t="n">
        <f aca="false">IF(CG$4="Actuals",IF(CH$4="Actuals","",CH361),CG369)</f>
        <v>-9228252.44543816</v>
      </c>
      <c r="CH412" s="13" t="n">
        <f aca="false">IF(CH$4="Actuals",IF(CI$4="Actuals","",CI361),CH369)</f>
        <v>-9652878.34833112</v>
      </c>
      <c r="CI412" s="13" t="n">
        <f aca="false">IF(CI$4="Actuals",IF(CJ$4="Actuals","",CJ361),CI369)</f>
        <v>-10077504.2512241</v>
      </c>
      <c r="CJ412" s="13" t="n">
        <f aca="false">IF(CJ$4="Actuals",IF(CK$4="Actuals","",CK361),CJ369)</f>
        <v>-10502130.1541171</v>
      </c>
      <c r="CK412" s="13" t="n">
        <f aca="false">IF(CK$4="Actuals",IF(CL$4="Actuals","",CL361),CK369)</f>
        <v>-10926756.05701</v>
      </c>
      <c r="CL412" s="13" t="n">
        <f aca="false">IF(CL$4="Actuals",IF(CM$4="Actuals","",CM361),CL369)</f>
        <v>-11351381.959903</v>
      </c>
      <c r="CM412" s="13" t="n">
        <f aca="false">IF(CM$4="Actuals",IF(CN$4="Actuals","",CN361),CM369)</f>
        <v>-11776007.862796</v>
      </c>
      <c r="CN412" s="13" t="n">
        <f aca="false">IF(CN$4="Actuals",IF(CO$4="Actuals","",CO361),CN369)</f>
        <v>-12200633.7656889</v>
      </c>
      <c r="CO412" s="13" t="n">
        <f aca="false">IF(CO$4="Actuals",IF(CP$4="Actuals","",CP361),CO369)</f>
        <v>-12625259.6685819</v>
      </c>
      <c r="CP412" s="13" t="n">
        <f aca="false">IF(CP$4="Actuals",IF(CQ$4="Actuals","",CQ361),CP369)</f>
        <v>-13049885.5714748</v>
      </c>
      <c r="CQ412" s="13" t="n">
        <f aca="false">IF(CQ$4="Actuals",IF(CR$4="Actuals","",CR361),CQ369)</f>
        <v>-13474511.4743678</v>
      </c>
      <c r="CR412" s="13" t="n">
        <f aca="false">IF(CR$4="Actuals",IF(CS$4="Actuals","",CS361),CR369)</f>
        <v>-13899137.3772608</v>
      </c>
      <c r="CS412" s="13" t="n">
        <f aca="false">IF(CS$4="Actuals",IF(CT$4="Actuals","",CT361),CS369)</f>
        <v>-14523763.2801537</v>
      </c>
      <c r="CT412" s="13" t="n">
        <f aca="false">IF(CT$4="Actuals",IF(CU$4="Actuals","",CU361),CT369)</f>
        <v>-14915928.5932369</v>
      </c>
      <c r="CU412" s="13" t="n">
        <f aca="false">IF(CU$4="Actuals",IF(CV$4="Actuals","",CV361),CU369)</f>
        <v>-15308093.90632</v>
      </c>
      <c r="CV412" s="13" t="n">
        <f aca="false">IF(CV$4="Actuals",IF(CW$4="Actuals","",CW361),CV369)</f>
        <v>-15700259.2194032</v>
      </c>
      <c r="CW412" s="13" t="n">
        <f aca="false">IF(CW$4="Actuals",IF(CX$4="Actuals","",CX361),CW369)</f>
        <v>-16092424.5324864</v>
      </c>
      <c r="CX412" s="13" t="n">
        <f aca="false">IF(CX$4="Actuals",IF(CY$4="Actuals","",CY361),CX369)</f>
        <v>-16484589.8455695</v>
      </c>
      <c r="CY412" s="13" t="n">
        <f aca="false">IF(CY$4="Actuals",IF(CZ$4="Actuals","",CZ361),CY369)</f>
        <v>-16876755.1586527</v>
      </c>
      <c r="CZ412" s="13" t="n">
        <f aca="false">IF(CZ$4="Actuals",IF(DA$4="Actuals","",DA361),CZ369)</f>
        <v>-17268920.4717358</v>
      </c>
      <c r="DA412" s="13" t="n">
        <f aca="false">IF(DA$4="Actuals",IF(DB$4="Actuals","",DB361),DA369)</f>
        <v>-17661085.784819</v>
      </c>
      <c r="DB412" s="13" t="n">
        <f aca="false">IF(DB$4="Actuals",IF(DC$4="Actuals","",DC361),DB369)</f>
        <v>-18053251.0979021</v>
      </c>
      <c r="DC412" s="13" t="n">
        <f aca="false">IF(DC$4="Actuals",IF(DD$4="Actuals","",DD361),DC369)</f>
        <v>-18445416.4109853</v>
      </c>
      <c r="DD412" s="13" t="n">
        <f aca="false">IF(DD$4="Actuals",IF(DE$4="Actuals","",DE361),DD369)</f>
        <v>-18837581.7240684</v>
      </c>
      <c r="DE412" s="13" t="n">
        <f aca="false">IF(DE$4="Actuals",IF(DF$4="Actuals","",DF361),DE369)</f>
        <v>-19429747.0371516</v>
      </c>
    </row>
    <row r="413" customFormat="false" ht="13.5" hidden="false" customHeight="true" outlineLevel="0" collapsed="false">
      <c r="A413" s="22" t="s">
        <v>232</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3.5" hidden="false" customHeight="true" outlineLevel="0" collapsed="false">
      <c r="A414" s="22" t="s">
        <v>233</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3.5" hidden="false" customHeight="true" outlineLevel="0" collapsed="false">
      <c r="A415" s="22" t="s">
        <v>234</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3.5" hidden="false" customHeight="true" outlineLevel="0" collapsed="false">
      <c r="A416" s="22" t="s">
        <v>235</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3.5" hidden="false" customHeight="true" outlineLevel="0" collapsed="false">
      <c r="A418" s="23" t="s">
        <v>236</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3.5" hidden="false" customHeight="true" outlineLevel="0" collapsed="false">
      <c r="A419" s="22" t="s">
        <v>230</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3.5" hidden="false" customHeight="true" outlineLevel="0" collapsed="false">
      <c r="A420" s="22" t="s">
        <v>231</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144362.512883333</v>
      </c>
      <c r="L420" s="13" t="n">
        <f aca="false">IF(L$4="Actuals",IF(M$4="Actuals","",M372),L378)</f>
        <v>-19368.9742333334</v>
      </c>
      <c r="M420" s="13" t="n">
        <f aca="false">IF(M$4="Actuals",IF(N$4="Actuals","",N372),M378)</f>
        <v>-183100.46135</v>
      </c>
      <c r="N420" s="13" t="n">
        <f aca="false">IF(N$4="Actuals",IF(O$4="Actuals","",O372),N378)</f>
        <v>-585629.199225359</v>
      </c>
      <c r="O420" s="13" t="n">
        <f aca="false">IF(O$4="Actuals",IF(P$4="Actuals","",P372),O378)</f>
        <v>-744481.154751675</v>
      </c>
      <c r="P420" s="13" t="n">
        <f aca="false">IF(P$4="Actuals",IF(Q$4="Actuals","",Q372),P378)</f>
        <v>-902417.727244991</v>
      </c>
      <c r="Q420" s="13" t="n">
        <f aca="false">IF(Q$4="Actuals",IF(R$4="Actuals","",R372),Q378)</f>
        <v>-1061269.68277131</v>
      </c>
      <c r="R420" s="13" t="n">
        <f aca="false">IF(R$4="Actuals",IF(S$4="Actuals","",S372),R378)</f>
        <v>-1218371.63829762</v>
      </c>
      <c r="S420" s="13" t="n">
        <f aca="false">IF(S$4="Actuals",IF(T$4="Actuals","",T372),S378)</f>
        <v>-1375473.59382394</v>
      </c>
      <c r="T420" s="13" t="n">
        <f aca="false">IF(T$4="Actuals",IF(U$4="Actuals","",U372),T378)</f>
        <v>-1556481.79935025</v>
      </c>
      <c r="U420" s="13" t="n">
        <f aca="false">IF(U$4="Actuals",IF(V$4="Actuals","",V372),U378)</f>
        <v>-1849490.00487657</v>
      </c>
      <c r="V420" s="13" t="n">
        <f aca="false">IF(V$4="Actuals",IF(W$4="Actuals","",W372),V378)</f>
        <v>-2142498.21040289</v>
      </c>
      <c r="W420" s="13" t="n">
        <f aca="false">IF(W$4="Actuals",IF(X$4="Actuals","",X372),W378)</f>
        <v>-2435506.4159292</v>
      </c>
      <c r="X420" s="13" t="n">
        <f aca="false">IF(X$4="Actuals",IF(Y$4="Actuals","",Y372),X378)</f>
        <v>-2728514.62145552</v>
      </c>
      <c r="Y420" s="13" t="n">
        <f aca="false">IF(Y$4="Actuals",IF(Z$4="Actuals","",Z372),Y378)</f>
        <v>-2964147.82698183</v>
      </c>
      <c r="Z420" s="13" t="n">
        <f aca="false">IF(Z$4="Actuals",IF(AA$4="Actuals","",AA372),Z378)</f>
        <v>-4204901.52020921</v>
      </c>
      <c r="AA420" s="13" t="n">
        <f aca="false">IF(AA$4="Actuals",IF(AB$4="Actuals","",AB372),AA378)</f>
        <v>-4751489.44563553</v>
      </c>
      <c r="AB420" s="13" t="n">
        <f aca="false">IF(AB$4="Actuals",IF(AC$4="Actuals","",AC372),AB378)</f>
        <v>-4990702.37106184</v>
      </c>
      <c r="AC420" s="13" t="n">
        <f aca="false">IF(AC$4="Actuals",IF(AD$4="Actuals","",AD372),AC378)</f>
        <v>-5287290.29648816</v>
      </c>
      <c r="AD420" s="13" t="n">
        <f aca="false">IF(AD$4="Actuals",IF(AE$4="Actuals","",AE372),AD378)</f>
        <v>-5583878.22191447</v>
      </c>
      <c r="AE420" s="13" t="n">
        <f aca="false">IF(AE$4="Actuals",IF(AF$4="Actuals","",AF372),AE378)</f>
        <v>-5823091.14734079</v>
      </c>
      <c r="AF420" s="13" t="n">
        <f aca="false">IF(AF$4="Actuals",IF(AG$4="Actuals","",AG372),AF378)</f>
        <v>-6119679.0727671</v>
      </c>
      <c r="AG420" s="13" t="n">
        <f aca="false">IF(AG$4="Actuals",IF(AH$4="Actuals","",AH372),AG378)</f>
        <v>-6419424.89293026</v>
      </c>
      <c r="AH420" s="13" t="n">
        <f aca="false">IF(AH$4="Actuals",IF(AI$4="Actuals","",AI372),AH378)</f>
        <v>-6722328.60783026</v>
      </c>
      <c r="AI420" s="13" t="n">
        <f aca="false">IF(AI$4="Actuals",IF(AJ$4="Actuals","",AJ372),AI378)</f>
        <v>-7034032.32273026</v>
      </c>
      <c r="AJ420" s="13" t="n">
        <f aca="false">IF(AJ$4="Actuals",IF(AK$4="Actuals","",AK372),AJ378)</f>
        <v>-7345736.03763026</v>
      </c>
      <c r="AK420" s="13" t="n">
        <f aca="false">IF(AK$4="Actuals",IF(AL$4="Actuals","",AL372),AK378)</f>
        <v>-7657439.75253026</v>
      </c>
      <c r="AL420" s="13" t="n">
        <f aca="false">IF(AL$4="Actuals",IF(AM$4="Actuals","",AM372),AL378)</f>
        <v>-8124006.21398427</v>
      </c>
      <c r="AM420" s="13" t="n">
        <f aca="false">IF(AM$4="Actuals",IF(AN$4="Actuals","",AN372),AM378)</f>
        <v>-8439361.24318227</v>
      </c>
      <c r="AN420" s="13" t="n">
        <f aca="false">IF(AN$4="Actuals",IF(AO$4="Actuals","",AO372),AN378)</f>
        <v>-8712835.48046459</v>
      </c>
      <c r="AO420" s="13" t="n">
        <f aca="false">IF(AO$4="Actuals",IF(AP$4="Actuals","",AP372),AO378)</f>
        <v>-8916190.50966259</v>
      </c>
      <c r="AP420" s="13" t="n">
        <f aca="false">IF(AP$4="Actuals",IF(AQ$4="Actuals","",AQ372),AP378)</f>
        <v>-9119545.53886059</v>
      </c>
      <c r="AQ420" s="13" t="n">
        <f aca="false">IF(AQ$4="Actuals",IF(AR$4="Actuals","",AR372),AQ378)</f>
        <v>-9322900.56805859</v>
      </c>
      <c r="AR420" s="13" t="n">
        <f aca="false">IF(AR$4="Actuals",IF(AS$4="Actuals","",AS372),AR378)</f>
        <v>-9526255.59725659</v>
      </c>
      <c r="AS420" s="13" t="n">
        <f aca="false">IF(AS$4="Actuals",IF(AT$4="Actuals","",AT372),AS378)</f>
        <v>-9729610.62645459</v>
      </c>
      <c r="AT420" s="13" t="n">
        <f aca="false">IF(AT$4="Actuals",IF(AU$4="Actuals","",AU372),AT378)</f>
        <v>-9932965.65565259</v>
      </c>
      <c r="AU420" s="13" t="n">
        <f aca="false">IF(AU$4="Actuals",IF(AV$4="Actuals","",AV372),AU378)</f>
        <v>-10136320.6848506</v>
      </c>
      <c r="AV420" s="13" t="n">
        <f aca="false">IF(AV$4="Actuals",IF(AW$4="Actuals","",AW372),AV378)</f>
        <v>-10339675.7140486</v>
      </c>
      <c r="AW420" s="13" t="n">
        <f aca="false">IF(AW$4="Actuals",IF(AX$4="Actuals","",AX372),AW378)</f>
        <v>-10543030.7432466</v>
      </c>
      <c r="AX420" s="13" t="n">
        <f aca="false">IF(AX$4="Actuals",IF(AY$4="Actuals","",AY372),AX378)</f>
        <v>-10750110.1130286</v>
      </c>
      <c r="AY420" s="13" t="n">
        <f aca="false">IF(AY$4="Actuals",IF(AZ$4="Actuals","",AZ372),AY378)</f>
        <v>-10957189.4828105</v>
      </c>
      <c r="AZ420" s="13" t="n">
        <f aca="false">IF(AZ$4="Actuals",IF(BA$4="Actuals","",BA372),AZ378)</f>
        <v>-11164268.8525925</v>
      </c>
      <c r="BA420" s="13" t="n">
        <f aca="false">IF(BA$4="Actuals",IF(BB$4="Actuals","",BB372),BA378)</f>
        <v>-11371348.2223744</v>
      </c>
      <c r="BB420" s="13" t="n">
        <f aca="false">IF(BB$4="Actuals",IF(BC$4="Actuals","",BC372),BB378)</f>
        <v>-11578427.5921564</v>
      </c>
      <c r="BC420" s="13" t="n">
        <f aca="false">IF(BC$4="Actuals",IF(BD$4="Actuals","",BD372),BC378)</f>
        <v>-11785506.9619384</v>
      </c>
      <c r="BD420" s="13" t="n">
        <f aca="false">IF(BD$4="Actuals",IF(BE$4="Actuals","",BE372),BD378)</f>
        <v>-11992586.3317203</v>
      </c>
      <c r="BE420" s="13" t="n">
        <f aca="false">IF(BE$4="Actuals",IF(BF$4="Actuals","",BF372),BE378)</f>
        <v>-12199665.7015023</v>
      </c>
      <c r="BF420" s="13" t="n">
        <f aca="false">IF(BF$4="Actuals",IF(BG$4="Actuals","",BG372),BF378)</f>
        <v>-12406745.0712842</v>
      </c>
      <c r="BG420" s="13" t="n">
        <f aca="false">IF(BG$4="Actuals",IF(BH$4="Actuals","",BH372),BG378)</f>
        <v>-12613824.4410662</v>
      </c>
      <c r="BH420" s="13" t="n">
        <f aca="false">IF(BH$4="Actuals",IF(BI$4="Actuals","",BI372),BH378)</f>
        <v>-12820903.8108481</v>
      </c>
      <c r="BI420" s="13" t="n">
        <f aca="false">IF(BI$4="Actuals",IF(BJ$4="Actuals","",BJ372),BI378)</f>
        <v>-13027983.1806301</v>
      </c>
      <c r="BJ420" s="13" t="n">
        <f aca="false">IF(BJ$4="Actuals",IF(BK$4="Actuals","",BK372),BJ378)</f>
        <v>-13238861.3778077</v>
      </c>
      <c r="BK420" s="13" t="n">
        <f aca="false">IF(BK$4="Actuals",IF(BL$4="Actuals","",BL372),BK378)</f>
        <v>-13449739.5749853</v>
      </c>
      <c r="BL420" s="13" t="n">
        <f aca="false">IF(BL$4="Actuals",IF(BM$4="Actuals","",BM372),BL378)</f>
        <v>-13660617.7721629</v>
      </c>
      <c r="BM420" s="13" t="n">
        <f aca="false">IF(BM$4="Actuals",IF(BN$4="Actuals","",BN372),BM378)</f>
        <v>-13871495.9693405</v>
      </c>
      <c r="BN420" s="13" t="n">
        <f aca="false">IF(BN$4="Actuals",IF(BO$4="Actuals","",BO372),BN378)</f>
        <v>-14082374.1665181</v>
      </c>
      <c r="BO420" s="13" t="n">
        <f aca="false">IF(BO$4="Actuals",IF(BP$4="Actuals","",BP372),BO378)</f>
        <v>-14293252.3636957</v>
      </c>
      <c r="BP420" s="13" t="n">
        <f aca="false">IF(BP$4="Actuals",IF(BQ$4="Actuals","",BQ372),BP378)</f>
        <v>-14504130.5608733</v>
      </c>
      <c r="BQ420" s="13" t="n">
        <f aca="false">IF(BQ$4="Actuals",IF(BR$4="Actuals","",BR372),BQ378)</f>
        <v>-14715008.7580509</v>
      </c>
      <c r="BR420" s="13" t="n">
        <f aca="false">IF(BR$4="Actuals",IF(BS$4="Actuals","",BS372),BR378)</f>
        <v>-14872636.6052285</v>
      </c>
      <c r="BS420" s="13" t="n">
        <f aca="false">IF(BS$4="Actuals",IF(BT$4="Actuals","",BT372),BS378)</f>
        <v>-15083514.8024061</v>
      </c>
      <c r="BT420" s="13" t="n">
        <f aca="false">IF(BT$4="Actuals",IF(BU$4="Actuals","",BU372),BT378)</f>
        <v>-15294392.9995837</v>
      </c>
      <c r="BU420" s="13" t="n">
        <f aca="false">IF(BU$4="Actuals",IF(BV$4="Actuals","",BV372),BU378)</f>
        <v>-15437509.1967613</v>
      </c>
      <c r="BV420" s="13" t="n">
        <f aca="false">IF(BV$4="Actuals",IF(BW$4="Actuals","",BW372),BV378)</f>
        <v>-15652262.1978825</v>
      </c>
      <c r="BW420" s="13" t="n">
        <f aca="false">IF(BW$4="Actuals",IF(BX$4="Actuals","",BX372),BW378)</f>
        <v>-15867015.1990036</v>
      </c>
      <c r="BX420" s="13" t="n">
        <f aca="false">IF(BX$4="Actuals",IF(BY$4="Actuals","",BY372),BX378)</f>
        <v>-16014006.2001248</v>
      </c>
      <c r="BY420" s="13" t="n">
        <f aca="false">IF(BY$4="Actuals",IF(BZ$4="Actuals","",BZ372),BY378)</f>
        <v>-16228759.2012459</v>
      </c>
      <c r="BZ420" s="13" t="n">
        <f aca="false">IF(BZ$4="Actuals",IF(CA$4="Actuals","",CA372),BZ378)</f>
        <v>-16443512.2023671</v>
      </c>
      <c r="CA420" s="13" t="n">
        <f aca="false">IF(CA$4="Actuals",IF(CB$4="Actuals","",CB372),CA378)</f>
        <v>-16590503.2034882</v>
      </c>
      <c r="CB420" s="13" t="n">
        <f aca="false">IF(CB$4="Actuals",IF(CC$4="Actuals","",CC372),CB378)</f>
        <v>-16805256.2046094</v>
      </c>
      <c r="CC420" s="13" t="n">
        <f aca="false">IF(CC$4="Actuals",IF(CD$4="Actuals","",CD372),CC378)</f>
        <v>-17020009.2057305</v>
      </c>
      <c r="CD420" s="13" t="n">
        <f aca="false">IF(CD$4="Actuals",IF(CE$4="Actuals","",CE372),CD378)</f>
        <v>-17158263.2068517</v>
      </c>
      <c r="CE420" s="13" t="n">
        <f aca="false">IF(CE$4="Actuals",IF(CF$4="Actuals","",CF372),CE378)</f>
        <v>-17373016.2079728</v>
      </c>
      <c r="CF420" s="13" t="n">
        <f aca="false">IF(CF$4="Actuals",IF(CG$4="Actuals","",CG372),CF378)</f>
        <v>-17587769.209094</v>
      </c>
      <c r="CG420" s="13" t="n">
        <f aca="false">IF(CG$4="Actuals",IF(CH$4="Actuals","",CH372),CG378)</f>
        <v>-17726023.2102151</v>
      </c>
      <c r="CH420" s="13" t="n">
        <f aca="false">IF(CH$4="Actuals",IF(CI$4="Actuals","",CI372),CH378)</f>
        <v>-17944728.5113587</v>
      </c>
      <c r="CI420" s="13" t="n">
        <f aca="false">IF(CI$4="Actuals",IF(CJ$4="Actuals","",CJ372),CI378)</f>
        <v>-18163433.8125023</v>
      </c>
      <c r="CJ420" s="13" t="n">
        <f aca="false">IF(CJ$4="Actuals",IF(CK$4="Actuals","",CK372),CJ378)</f>
        <v>-18299032.0870394</v>
      </c>
      <c r="CK420" s="13" t="n">
        <f aca="false">IF(CK$4="Actuals",IF(CL$4="Actuals","",CL372),CK378)</f>
        <v>-18359876.3881829</v>
      </c>
      <c r="CL420" s="13" t="n">
        <f aca="false">IF(CL$4="Actuals",IF(CM$4="Actuals","",CM372),CL378)</f>
        <v>-18420720.6893265</v>
      </c>
      <c r="CM420" s="13" t="n">
        <f aca="false">IF(CM$4="Actuals",IF(CN$4="Actuals","",CN372),CM378)</f>
        <v>-18481564.9904701</v>
      </c>
      <c r="CN420" s="13" t="n">
        <f aca="false">IF(CN$4="Actuals",IF(CO$4="Actuals","",CO372),CN378)</f>
        <v>-18542409.2916137</v>
      </c>
      <c r="CO420" s="13" t="n">
        <f aca="false">IF(CO$4="Actuals",IF(CP$4="Actuals","",CP372),CO378)</f>
        <v>-18603253.5927572</v>
      </c>
      <c r="CP420" s="13" t="n">
        <f aca="false">IF(CP$4="Actuals",IF(CQ$4="Actuals","",CQ372),CP378)</f>
        <v>-18664097.8939008</v>
      </c>
      <c r="CQ420" s="13" t="n">
        <f aca="false">IF(CQ$4="Actuals",IF(CR$4="Actuals","",CR372),CQ378)</f>
        <v>-18724942.1950444</v>
      </c>
      <c r="CR420" s="13" t="n">
        <f aca="false">IF(CR$4="Actuals",IF(CS$4="Actuals","",CS372),CR378)</f>
        <v>-18785786.496188</v>
      </c>
      <c r="CS420" s="13" t="n">
        <f aca="false">IF(CS$4="Actuals",IF(CT$4="Actuals","",CT372),CS378)</f>
        <v>-18846630.7973315</v>
      </c>
      <c r="CT420" s="13" t="n">
        <f aca="false">IF(CT$4="Actuals",IF(CU$4="Actuals","",CU372),CT378)</f>
        <v>-18905527.2962884</v>
      </c>
      <c r="CU420" s="13" t="n">
        <f aca="false">IF(CU$4="Actuals",IF(CV$4="Actuals","",CV372),CU378)</f>
        <v>-18964423.7952452</v>
      </c>
      <c r="CV420" s="13" t="n">
        <f aca="false">IF(CV$4="Actuals",IF(CW$4="Actuals","",CW372),CV378)</f>
        <v>-19023320.294202</v>
      </c>
      <c r="CW420" s="13" t="n">
        <f aca="false">IF(CW$4="Actuals",IF(CX$4="Actuals","",CX372),CW378)</f>
        <v>-19082216.7931588</v>
      </c>
      <c r="CX420" s="13" t="n">
        <f aca="false">IF(CX$4="Actuals",IF(CY$4="Actuals","",CY372),CX378)</f>
        <v>-19141113.2921156</v>
      </c>
      <c r="CY420" s="13" t="n">
        <f aca="false">IF(CY$4="Actuals",IF(CZ$4="Actuals","",CZ372),CY378)</f>
        <v>-19200009.7910725</v>
      </c>
      <c r="CZ420" s="13" t="n">
        <f aca="false">IF(CZ$4="Actuals",IF(DA$4="Actuals","",DA372),CZ378)</f>
        <v>-19258906.2900293</v>
      </c>
      <c r="DA420" s="13" t="n">
        <f aca="false">IF(DA$4="Actuals",IF(DB$4="Actuals","",DB372),DA378)</f>
        <v>-19317802.7889861</v>
      </c>
      <c r="DB420" s="13" t="n">
        <f aca="false">IF(DB$4="Actuals",IF(DC$4="Actuals","",DC372),DB378)</f>
        <v>-19376699.2879429</v>
      </c>
      <c r="DC420" s="13" t="n">
        <f aca="false">IF(DC$4="Actuals",IF(DD$4="Actuals","",DD372),DC378)</f>
        <v>-19435595.7868997</v>
      </c>
      <c r="DD420" s="13" t="n">
        <f aca="false">IF(DD$4="Actuals",IF(DE$4="Actuals","",DE372),DD378)</f>
        <v>-19494492.2858565</v>
      </c>
      <c r="DE420" s="13" t="n">
        <f aca="false">IF(DE$4="Actuals",IF(DF$4="Actuals","",DF372),DE378)</f>
        <v>-19553388.7848134</v>
      </c>
    </row>
    <row r="421" customFormat="false" ht="13.5" hidden="false" customHeight="true" outlineLevel="0" collapsed="false">
      <c r="A421" s="22" t="s">
        <v>232</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3.5" hidden="false" customHeight="true" outlineLevel="0" collapsed="false">
      <c r="A422" s="22" t="s">
        <v>233</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3.5" hidden="false" customHeight="true" outlineLevel="0" collapsed="false">
      <c r="A423" s="22" t="s">
        <v>234</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3.5" hidden="false" customHeight="true" outlineLevel="0" collapsed="false">
      <c r="A424" s="22" t="s">
        <v>235</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3.5" hidden="false" customHeight="true" outlineLevel="0" collapsed="false">
      <c r="A426" s="23" t="s">
        <v>237</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3.5" hidden="false" customHeight="true" outlineLevel="0" collapsed="false">
      <c r="A427" s="22" t="s">
        <v>230</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3.5" hidden="false" customHeight="true" outlineLevel="0" collapsed="false">
      <c r="A428" s="22" t="s">
        <v>231</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2425114.98034167</v>
      </c>
      <c r="L428" s="13" t="n">
        <f aca="false">IF(L$4="Actuals",IF(M$4="Actuals","",M381),L383)</f>
        <v>2030324.82093334</v>
      </c>
      <c r="M428" s="13" t="n">
        <f aca="false">IF(M$4="Actuals",IF(N$4="Actuals","",N381),M383)</f>
        <v>1787225.81865</v>
      </c>
      <c r="N428" s="13" t="n">
        <f aca="false">IF(N$4="Actuals",IF(O$4="Actuals","",O381),N383)</f>
        <v>210374.72118871</v>
      </c>
      <c r="O428" s="13" t="n">
        <f aca="false">IF(O$4="Actuals",IF(P$4="Actuals","",P381),O383)</f>
        <v>234071.981721065</v>
      </c>
      <c r="P428" s="13" t="n">
        <f aca="false">IF(P$4="Actuals",IF(Q$4="Actuals","",Q381),P383)</f>
        <v>319342.416767369</v>
      </c>
      <c r="Q428" s="13" t="n">
        <f aca="false">IF(Q$4="Actuals",IF(R$4="Actuals","",R381),Q383)</f>
        <v>424014.566280673</v>
      </c>
      <c r="R428" s="13" t="n">
        <f aca="false">IF(R$4="Actuals",IF(S$4="Actuals","",S381),R383)</f>
        <v>506240.376793977</v>
      </c>
      <c r="S428" s="13" t="n">
        <f aca="false">IF(S$4="Actuals",IF(T$4="Actuals","",T381),S383)</f>
        <v>494783.646146623</v>
      </c>
      <c r="T428" s="13" t="n">
        <f aca="false">IF(T$4="Actuals",IF(U$4="Actuals","",U381),T383)</f>
        <v>169627.166202617</v>
      </c>
      <c r="U428" s="13" t="n">
        <f aca="false">IF(U$4="Actuals",IF(V$4="Actuals","",V381),U383)</f>
        <v>485710.726268414</v>
      </c>
      <c r="V428" s="13" t="n">
        <f aca="false">IF(V$4="Actuals",IF(W$4="Actuals","",W381),V383)</f>
        <v>752013.222334212</v>
      </c>
      <c r="W428" s="13" t="n">
        <f aca="false">IF(W$4="Actuals",IF(X$4="Actuals","",X381),W383)</f>
        <v>1069249.20640001</v>
      </c>
      <c r="X428" s="13" t="n">
        <f aca="false">IF(X$4="Actuals",IF(Y$4="Actuals","",Y381),X383)</f>
        <v>1107439.69946581</v>
      </c>
      <c r="Y428" s="13" t="n">
        <f aca="false">IF(Y$4="Actuals",IF(Z$4="Actuals","",Z381),Y383)</f>
        <v>1163243.0685316</v>
      </c>
      <c r="Z428" s="13" t="n">
        <f aca="false">IF(Z$4="Actuals",IF(AA$4="Actuals","",AA381),Z383)</f>
        <v>219819.700828643</v>
      </c>
      <c r="AA428" s="13" t="n">
        <f aca="false">IF(AA$4="Actuals",IF(AB$4="Actuals","",AB381),AA383)</f>
        <v>183833.872734439</v>
      </c>
      <c r="AB428" s="13" t="n">
        <f aca="false">IF(AB$4="Actuals",IF(AC$4="Actuals","",AC381),AB383)</f>
        <v>368753.968338938</v>
      </c>
      <c r="AC428" s="13" t="n">
        <f aca="false">IF(AC$4="Actuals",IF(AD$4="Actuals","",AD381),AC383)</f>
        <v>306412.048244734</v>
      </c>
      <c r="AD428" s="13" t="n">
        <f aca="false">IF(AD$4="Actuals",IF(AE$4="Actuals","",AE381),AD383)</f>
        <v>151575.294227455</v>
      </c>
      <c r="AE428" s="13" t="n">
        <f aca="false">IF(AE$4="Actuals",IF(AF$4="Actuals","",AF381),AE383)</f>
        <v>99098.9431332527</v>
      </c>
      <c r="AF428" s="13" t="n">
        <f aca="false">IF(AF$4="Actuals",IF(AG$4="Actuals","",AG381),AF383)</f>
        <v>98557.2524217675</v>
      </c>
      <c r="AG428" s="13" t="n">
        <f aca="false">IF(AG$4="Actuals",IF(AH$4="Actuals","",AH381),AG383)</f>
        <v>188128.638302206</v>
      </c>
      <c r="AH428" s="13" t="n">
        <f aca="false">IF(AH$4="Actuals",IF(AI$4="Actuals","",AI381),AH383)</f>
        <v>157385.920156598</v>
      </c>
      <c r="AI428" s="13" t="n">
        <f aca="false">IF(AI$4="Actuals",IF(AJ$4="Actuals","",AJ381),AI383)</f>
        <v>-18236.1354509098</v>
      </c>
      <c r="AJ428" s="13" t="n">
        <f aca="false">IF(AJ$4="Actuals",IF(AK$4="Actuals","",AK381),AJ383)</f>
        <v>-193906.764558418</v>
      </c>
      <c r="AK428" s="13" t="n">
        <f aca="false">IF(AK$4="Actuals",IF(AL$4="Actuals","",AL381),AK383)</f>
        <v>-689191.488165925</v>
      </c>
      <c r="AL428" s="13" t="n">
        <f aca="false">IF(AL$4="Actuals",IF(AM$4="Actuals","",AM381),AL383)</f>
        <v>-1172006.88372264</v>
      </c>
      <c r="AM428" s="13" t="n">
        <f aca="false">IF(AM$4="Actuals",IF(AN$4="Actuals","",AN381),AM383)</f>
        <v>-1490092.81902335</v>
      </c>
      <c r="AN428" s="13" t="n">
        <f aca="false">IF(AN$4="Actuals",IF(AO$4="Actuals","",AO381),AN383)</f>
        <v>-1491883.52090837</v>
      </c>
      <c r="AO428" s="13" t="n">
        <f aca="false">IF(AO$4="Actuals",IF(AP$4="Actuals","",AP381),AO383)</f>
        <v>-1785869.92370908</v>
      </c>
      <c r="AP428" s="13" t="n">
        <f aca="false">IF(AP$4="Actuals",IF(AQ$4="Actuals","",AQ381),AP383)</f>
        <v>-1992979.70952267</v>
      </c>
      <c r="AQ428" s="13" t="n">
        <f aca="false">IF(AQ$4="Actuals",IF(AR$4="Actuals","",AR381),AQ383)</f>
        <v>-2188186.68353703</v>
      </c>
      <c r="AR428" s="13" t="n">
        <f aca="false">IF(AR$4="Actuals",IF(AS$4="Actuals","",AS381),AR383)</f>
        <v>-2621449.89353588</v>
      </c>
      <c r="AS428" s="13" t="n">
        <f aca="false">IF(AS$4="Actuals",IF(AT$4="Actuals","",AT381),AS383)</f>
        <v>-3054713.10353472</v>
      </c>
      <c r="AT428" s="13" t="n">
        <f aca="false">IF(AT$4="Actuals",IF(AU$4="Actuals","",AU381),AT383)</f>
        <v>-3487976.31353357</v>
      </c>
      <c r="AU428" s="13" t="n">
        <f aca="false">IF(AU$4="Actuals",IF(AV$4="Actuals","",AV381),AU383)</f>
        <v>-3921239.52353241</v>
      </c>
      <c r="AV428" s="13" t="n">
        <f aca="false">IF(AV$4="Actuals",IF(AW$4="Actuals","",AW381),AV383)</f>
        <v>-4095641.42744543</v>
      </c>
      <c r="AW428" s="13" t="n">
        <f aca="false">IF(AW$4="Actuals",IF(AX$4="Actuals","",AX381),AW383)</f>
        <v>-4447790.34188791</v>
      </c>
      <c r="AX428" s="13" t="n">
        <f aca="false">IF(AX$4="Actuals",IF(AY$4="Actuals","",AY381),AX383)</f>
        <v>-5056189.45981818</v>
      </c>
      <c r="AY428" s="13" t="n">
        <f aca="false">IF(AY$4="Actuals",IF(AZ$4="Actuals","",AZ381),AY383)</f>
        <v>-5664588.57774844</v>
      </c>
      <c r="AZ428" s="13" t="n">
        <f aca="false">IF(AZ$4="Actuals",IF(BA$4="Actuals","",BA381),AZ383)</f>
        <v>-6272987.6956787</v>
      </c>
      <c r="BA428" s="13" t="n">
        <f aca="false">IF(BA$4="Actuals",IF(BB$4="Actuals","",BB381),BA383)</f>
        <v>-6881386.81360897</v>
      </c>
      <c r="BB428" s="13" t="n">
        <f aca="false">IF(BB$4="Actuals",IF(BC$4="Actuals","",BC381),BB383)</f>
        <v>-7489785.93153923</v>
      </c>
      <c r="BC428" s="13" t="n">
        <f aca="false">IF(BC$4="Actuals",IF(BD$4="Actuals","",BD381),BC383)</f>
        <v>-8098185.0494695</v>
      </c>
      <c r="BD428" s="13" t="n">
        <f aca="false">IF(BD$4="Actuals",IF(BE$4="Actuals","",BE381),BD383)</f>
        <v>-8706584.16739976</v>
      </c>
      <c r="BE428" s="13" t="n">
        <f aca="false">IF(BE$4="Actuals",IF(BF$4="Actuals","",BF381),BE383)</f>
        <v>-9314983.28533002</v>
      </c>
      <c r="BF428" s="13" t="n">
        <f aca="false">IF(BF$4="Actuals",IF(BG$4="Actuals","",BG381),BF383)</f>
        <v>-9923382.40326029</v>
      </c>
      <c r="BG428" s="13" t="n">
        <f aca="false">IF(BG$4="Actuals",IF(BH$4="Actuals","",BH381),BG383)</f>
        <v>-10531781.5211906</v>
      </c>
      <c r="BH428" s="13" t="n">
        <f aca="false">IF(BH$4="Actuals",IF(BI$4="Actuals","",BI381),BH383)</f>
        <v>-11140180.6391208</v>
      </c>
      <c r="BI428" s="13" t="n">
        <f aca="false">IF(BI$4="Actuals",IF(BJ$4="Actuals","",BJ381),BI383)</f>
        <v>-11948579.7570511</v>
      </c>
      <c r="BJ428" s="13" t="n">
        <f aca="false">IF(BJ$4="Actuals",IF(BK$4="Actuals","",BK381),BJ383)</f>
        <v>-12568393.0973399</v>
      </c>
      <c r="BK428" s="13" t="n">
        <f aca="false">IF(BK$4="Actuals",IF(BL$4="Actuals","",BL381),BK383)</f>
        <v>-13188206.4376288</v>
      </c>
      <c r="BL428" s="13" t="n">
        <f aca="false">IF(BL$4="Actuals",IF(BM$4="Actuals","",BM381),BL383)</f>
        <v>-13808019.7779177</v>
      </c>
      <c r="BM428" s="13" t="n">
        <f aca="false">IF(BM$4="Actuals",IF(BN$4="Actuals","",BN381),BM383)</f>
        <v>-14427833.1182066</v>
      </c>
      <c r="BN428" s="13" t="n">
        <f aca="false">IF(BN$4="Actuals",IF(BO$4="Actuals","",BO381),BN383)</f>
        <v>-15047646.4584954</v>
      </c>
      <c r="BO428" s="13" t="n">
        <f aca="false">IF(BO$4="Actuals",IF(BP$4="Actuals","",BP381),BO383)</f>
        <v>-15667459.7987843</v>
      </c>
      <c r="BP428" s="13" t="n">
        <f aca="false">IF(BP$4="Actuals",IF(BQ$4="Actuals","",BQ381),BP383)</f>
        <v>-16287273.1390732</v>
      </c>
      <c r="BQ428" s="13" t="n">
        <f aca="false">IF(BQ$4="Actuals",IF(BR$4="Actuals","",BR381),BQ383)</f>
        <v>-16907086.479362</v>
      </c>
      <c r="BR428" s="13" t="n">
        <f aca="false">IF(BR$4="Actuals",IF(BS$4="Actuals","",BS381),BR383)</f>
        <v>-17473649.4696509</v>
      </c>
      <c r="BS428" s="13" t="n">
        <f aca="false">IF(BS$4="Actuals",IF(BT$4="Actuals","",BT381),BS383)</f>
        <v>-18093462.8099398</v>
      </c>
      <c r="BT428" s="13" t="n">
        <f aca="false">IF(BT$4="Actuals",IF(BU$4="Actuals","",BU381),BT383)</f>
        <v>-18713276.1502286</v>
      </c>
      <c r="BU428" s="13" t="n">
        <f aca="false">IF(BU$4="Actuals",IF(BV$4="Actuals","",BV381),BU383)</f>
        <v>-19465327.4905175</v>
      </c>
      <c r="BV428" s="13" t="n">
        <f aca="false">IF(BV$4="Actuals",IF(BW$4="Actuals","",BW381),BV383)</f>
        <v>-20096783.3376122</v>
      </c>
      <c r="BW428" s="13" t="n">
        <f aca="false">IF(BW$4="Actuals",IF(BX$4="Actuals","",BX381),BW383)</f>
        <v>-20728239.1847068</v>
      </c>
      <c r="BX428" s="13" t="n">
        <f aca="false">IF(BX$4="Actuals",IF(BY$4="Actuals","",BY381),BX383)</f>
        <v>-21291933.0318015</v>
      </c>
      <c r="BY428" s="13" t="n">
        <f aca="false">IF(BY$4="Actuals",IF(BZ$4="Actuals","",BZ381),BY383)</f>
        <v>-21923388.8788961</v>
      </c>
      <c r="BZ428" s="13" t="n">
        <f aca="false">IF(BZ$4="Actuals",IF(CA$4="Actuals","",CA381),BZ383)</f>
        <v>-22554844.7259907</v>
      </c>
      <c r="CA428" s="13" t="n">
        <f aca="false">IF(CA$4="Actuals",IF(CB$4="Actuals","",CB381),CA383)</f>
        <v>-23118538.5730854</v>
      </c>
      <c r="CB428" s="13" t="n">
        <f aca="false">IF(CB$4="Actuals",IF(CC$4="Actuals","",CC381),CB383)</f>
        <v>-23749994.42018</v>
      </c>
      <c r="CC428" s="13" t="n">
        <f aca="false">IF(CC$4="Actuals",IF(CD$4="Actuals","",CD381),CC383)</f>
        <v>-24381450.2672747</v>
      </c>
      <c r="CD428" s="13" t="n">
        <f aca="false">IF(CD$4="Actuals",IF(CE$4="Actuals","",CE381),CD383)</f>
        <v>-24936407.1143693</v>
      </c>
      <c r="CE428" s="13" t="n">
        <f aca="false">IF(CE$4="Actuals",IF(CF$4="Actuals","",CF381),CE383)</f>
        <v>-25567862.961464</v>
      </c>
      <c r="CF428" s="13" t="n">
        <f aca="false">IF(CF$4="Actuals",IF(CG$4="Actuals","",CG381),CF383)</f>
        <v>-26199318.8085586</v>
      </c>
      <c r="CG428" s="13" t="n">
        <f aca="false">IF(CG$4="Actuals",IF(CH$4="Actuals","",CH381),CG383)</f>
        <v>-26954275.6556533</v>
      </c>
      <c r="CH428" s="13" t="n">
        <f aca="false">IF(CH$4="Actuals",IF(CI$4="Actuals","",CI381),CH383)</f>
        <v>-27597606.8596898</v>
      </c>
      <c r="CI428" s="13" t="n">
        <f aca="false">IF(CI$4="Actuals",IF(CJ$4="Actuals","",CJ381),CI383)</f>
        <v>-28240938.0637264</v>
      </c>
      <c r="CJ428" s="13" t="n">
        <f aca="false">IF(CJ$4="Actuals",IF(CK$4="Actuals","",CK381),CJ383)</f>
        <v>-28801162.2411564</v>
      </c>
      <c r="CK428" s="13" t="n">
        <f aca="false">IF(CK$4="Actuals",IF(CL$4="Actuals","",CL381),CK383)</f>
        <v>-29286632.445193</v>
      </c>
      <c r="CL428" s="13" t="n">
        <f aca="false">IF(CL$4="Actuals",IF(CM$4="Actuals","",CM381),CL383)</f>
        <v>-29772102.6492295</v>
      </c>
      <c r="CM428" s="13" t="n">
        <f aca="false">IF(CM$4="Actuals",IF(CN$4="Actuals","",CN381),CM383)</f>
        <v>-30257572.853266</v>
      </c>
      <c r="CN428" s="13" t="n">
        <f aca="false">IF(CN$4="Actuals",IF(CO$4="Actuals","",CO381),CN383)</f>
        <v>-30743043.0573026</v>
      </c>
      <c r="CO428" s="13" t="n">
        <f aca="false">IF(CO$4="Actuals",IF(CP$4="Actuals","",CP381),CO383)</f>
        <v>-31228513.2613391</v>
      </c>
      <c r="CP428" s="13" t="n">
        <f aca="false">IF(CP$4="Actuals",IF(CQ$4="Actuals","",CQ381),CP383)</f>
        <v>-31713983.4653757</v>
      </c>
      <c r="CQ428" s="13" t="n">
        <f aca="false">IF(CQ$4="Actuals",IF(CR$4="Actuals","",CR381),CQ383)</f>
        <v>-32199453.6694122</v>
      </c>
      <c r="CR428" s="13" t="n">
        <f aca="false">IF(CR$4="Actuals",IF(CS$4="Actuals","",CS381),CR383)</f>
        <v>-32684923.8734488</v>
      </c>
      <c r="CS428" s="13" t="n">
        <f aca="false">IF(CS$4="Actuals",IF(CT$4="Actuals","",CT381),CS383)</f>
        <v>-33370394.0774853</v>
      </c>
      <c r="CT428" s="13" t="n">
        <f aca="false">IF(CT$4="Actuals",IF(CU$4="Actuals","",CU381),CT383)</f>
        <v>-33821455.8895253</v>
      </c>
      <c r="CU428" s="13" t="n">
        <f aca="false">IF(CU$4="Actuals",IF(CV$4="Actuals","",CV381),CU383)</f>
        <v>-34272517.7015652</v>
      </c>
      <c r="CV428" s="13" t="n">
        <f aca="false">IF(CV$4="Actuals",IF(CW$4="Actuals","",CW381),CV383)</f>
        <v>-34723579.5136052</v>
      </c>
      <c r="CW428" s="13" t="n">
        <f aca="false">IF(CW$4="Actuals",IF(CX$4="Actuals","",CX381),CW383)</f>
        <v>-35174641.3256452</v>
      </c>
      <c r="CX428" s="13" t="n">
        <f aca="false">IF(CX$4="Actuals",IF(CY$4="Actuals","",CY381),CX383)</f>
        <v>-35625703.1376851</v>
      </c>
      <c r="CY428" s="13" t="n">
        <f aca="false">IF(CY$4="Actuals",IF(CZ$4="Actuals","",CZ381),CY383)</f>
        <v>-36076764.9497251</v>
      </c>
      <c r="CZ428" s="13" t="n">
        <f aca="false">IF(CZ$4="Actuals",IF(DA$4="Actuals","",DA381),CZ383)</f>
        <v>-36527826.7617651</v>
      </c>
      <c r="DA428" s="13" t="n">
        <f aca="false">IF(DA$4="Actuals",IF(DB$4="Actuals","",DB381),DA383)</f>
        <v>-36978888.573805</v>
      </c>
      <c r="DB428" s="13" t="n">
        <f aca="false">IF(DB$4="Actuals",IF(DC$4="Actuals","",DC381),DB383)</f>
        <v>-37429950.385845</v>
      </c>
      <c r="DC428" s="13" t="n">
        <f aca="false">IF(DC$4="Actuals",IF(DD$4="Actuals","",DD381),DC383)</f>
        <v>-37881012.197885</v>
      </c>
      <c r="DD428" s="13" t="n">
        <f aca="false">IF(DD$4="Actuals",IF(DE$4="Actuals","",DE381),DD383)</f>
        <v>-38332074.009925</v>
      </c>
      <c r="DE428" s="13" t="n">
        <f aca="false">IF(DE$4="Actuals",IF(DF$4="Actuals","",DF381),DE383)</f>
        <v>-38983135.8219649</v>
      </c>
    </row>
    <row r="429" customFormat="false" ht="13.5" hidden="false" customHeight="true" outlineLevel="0" collapsed="false">
      <c r="A429" s="22" t="s">
        <v>232</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3.5" hidden="false" customHeight="true" outlineLevel="0" collapsed="false">
      <c r="A430" s="22" t="s">
        <v>233</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3.5" hidden="false" customHeight="true" outlineLevel="0" collapsed="false">
      <c r="A431" s="22" t="s">
        <v>234</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3.5" hidden="false" customHeight="true" outlineLevel="0" collapsed="false">
      <c r="A434" s="23" t="s">
        <v>238</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3.5" hidden="false" customHeight="true" outlineLevel="0" collapsed="false">
      <c r="A435" s="70" t="s">
        <v>239</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3.5" hidden="false" customHeight="true" outlineLevel="0" collapsed="false">
      <c r="A436" s="22" t="s">
        <v>240</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3.5" hidden="false" customHeight="true" outlineLevel="0" collapsed="false">
      <c r="A437" s="22" t="s">
        <v>241</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242</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243</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244</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245</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246</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247</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248</v>
      </c>
      <c r="B445" s="73" t="n">
        <v>2921863</v>
      </c>
      <c r="C445" s="73" t="n">
        <v>3816651</v>
      </c>
      <c r="D445" s="73" t="n">
        <v>3367521</v>
      </c>
      <c r="E445" s="73" t="n">
        <v>4913957</v>
      </c>
      <c r="F445" s="73" t="n">
        <v>5548038</v>
      </c>
      <c r="G445" s="73" t="n">
        <v>8605828</v>
      </c>
      <c r="H445" s="73" t="n">
        <v>9463439</v>
      </c>
      <c r="I445" s="7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3.5" hidden="false" customHeight="true" outlineLevel="0" collapsed="false">
      <c r="A446" s="22" t="s">
        <v>249</v>
      </c>
      <c r="B446" s="73" t="n">
        <v>417159</v>
      </c>
      <c r="C446" s="73" t="n">
        <v>552746</v>
      </c>
      <c r="D446" s="73" t="n">
        <v>682719</v>
      </c>
      <c r="E446" s="73" t="n">
        <v>863823</v>
      </c>
      <c r="F446" s="73" t="n">
        <v>1075205</v>
      </c>
      <c r="G446" s="73" t="n">
        <v>1343596</v>
      </c>
      <c r="H446" s="73" t="n">
        <v>1609222</v>
      </c>
      <c r="I446" s="7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3.5" hidden="false" customHeight="true" outlineLevel="0" collapsed="false">
      <c r="A447" s="22" t="s">
        <v>250</v>
      </c>
      <c r="B447" s="73" t="n">
        <v>0</v>
      </c>
      <c r="C447" s="73" t="n">
        <v>0</v>
      </c>
      <c r="D447" s="73" t="n">
        <v>0</v>
      </c>
      <c r="E447" s="73" t="n">
        <v>0</v>
      </c>
      <c r="F447" s="73" t="n">
        <v>0</v>
      </c>
      <c r="G447" s="73" t="n">
        <v>0</v>
      </c>
      <c r="H447" s="73" t="n">
        <v>96097</v>
      </c>
      <c r="I447" s="7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251</v>
      </c>
      <c r="B448" s="73" t="n">
        <v>4052636</v>
      </c>
      <c r="C448" s="73" t="n">
        <v>4295889</v>
      </c>
      <c r="D448" s="73" t="n">
        <v>4394933</v>
      </c>
      <c r="E448" s="73" t="n">
        <v>5359073</v>
      </c>
      <c r="F448" s="73" t="n">
        <v>6161063</v>
      </c>
      <c r="G448" s="73" t="n">
        <v>8892451</v>
      </c>
      <c r="H448" s="73" t="n">
        <v>8434511</v>
      </c>
      <c r="I448" s="7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252</v>
      </c>
      <c r="B449" s="73" t="n">
        <v>246844</v>
      </c>
      <c r="C449" s="73" t="n">
        <v>362001</v>
      </c>
      <c r="D449" s="73" t="n">
        <v>458628</v>
      </c>
      <c r="E449" s="73" t="n">
        <v>625437</v>
      </c>
      <c r="F449" s="73" t="n">
        <v>812294</v>
      </c>
      <c r="G449" s="73" t="n">
        <v>1055651</v>
      </c>
      <c r="H449" s="73" t="n">
        <v>1280305</v>
      </c>
      <c r="I449" s="7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3.5" hidden="false" customHeight="true" outlineLevel="0" collapsed="false">
      <c r="A451" s="70" t="s">
        <v>253</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254</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3.5" hidden="false" customHeight="true" outlineLevel="0" collapsed="false">
      <c r="A453" s="22" t="s">
        <v>255</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3.5" hidden="false" customHeight="true" outlineLevel="0" collapsed="false">
      <c r="A454" s="22" t="s">
        <v>256</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3.5" hidden="false" customHeight="true" outlineLevel="0" collapsed="false">
      <c r="A455" s="22" t="s">
        <v>257</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3.5" hidden="false" customHeight="true" outlineLevel="0" collapsed="false">
      <c r="A456" s="22" t="s">
        <v>258</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3.5" hidden="false" customHeight="true" outlineLevel="0" collapsed="false">
      <c r="A457" s="67" t="s">
        <v>259</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3.5" hidden="false" customHeight="true" outlineLevel="0" collapsed="false">
      <c r="A458" s="22" t="s">
        <v>260</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3.5" hidden="false" customHeight="true" outlineLevel="0" collapsed="false">
      <c r="A460" s="70" t="s">
        <v>261</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3.5" hidden="false" customHeight="true" outlineLevel="0" collapsed="false">
      <c r="A461" s="22" t="s">
        <v>262</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3.5" hidden="false" customHeight="true" outlineLevel="0" collapsed="false">
      <c r="A462" s="22" t="s">
        <v>263</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3.5" hidden="false" customHeight="true" outlineLevel="0" collapsed="false">
      <c r="A463" s="22" t="s">
        <v>264</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3.5" hidden="false" customHeight="true" outlineLevel="0" collapsed="false">
      <c r="A465" s="70" t="s">
        <v>265</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254</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3.5" hidden="false" customHeight="true" outlineLevel="0" collapsed="false">
      <c r="A467" s="22" t="s">
        <v>266</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3.5" hidden="false" customHeight="true" outlineLevel="0" collapsed="false">
      <c r="A468" s="22" t="s">
        <v>267</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3.5" hidden="false" customHeight="true" outlineLevel="0" collapsed="false">
      <c r="A469" s="22" t="s">
        <v>268</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3.5" hidden="false" customHeight="true" outlineLevel="0" collapsed="false">
      <c r="A470" s="22" t="s">
        <v>269</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3.5" hidden="false" customHeight="true" outlineLevel="0" collapsed="false">
      <c r="A471" s="22" t="s">
        <v>270</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3.5" hidden="false" customHeight="true" outlineLevel="0" collapsed="false">
      <c r="A472" s="67" t="s">
        <v>259</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3.5" hidden="false" customHeight="true" outlineLevel="0" collapsed="false">
      <c r="A474" s="75" t="s">
        <v>208</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3.5" hidden="false" customHeight="true" outlineLevel="0" collapsed="false">
      <c r="A475" s="70" t="s">
        <v>271</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3.5" hidden="false" customHeight="true" outlineLevel="0" collapsed="false">
      <c r="A476" s="70" t="s">
        <v>272</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3.5" hidden="false" customHeight="true" outlineLevel="0" collapsed="false">
      <c r="A477" s="70" t="s">
        <v>273</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274</v>
      </c>
      <c r="B1" s="76"/>
      <c r="C1" s="76"/>
      <c r="D1" s="76"/>
      <c r="E1" s="76"/>
      <c r="F1" s="3"/>
      <c r="G1" s="3"/>
      <c r="H1" s="3"/>
      <c r="I1" s="3"/>
    </row>
    <row r="2" customFormat="false" ht="15" hidden="false" customHeight="true" outlineLevel="0" collapsed="false">
      <c r="A2" s="15" t="s">
        <v>275</v>
      </c>
      <c r="B2" s="49" t="s">
        <v>276</v>
      </c>
      <c r="C2" s="49" t="s">
        <v>277</v>
      </c>
      <c r="D2" s="49" t="s">
        <v>278</v>
      </c>
      <c r="E2" s="49" t="s">
        <v>279</v>
      </c>
      <c r="F2" s="49" t="s">
        <v>280</v>
      </c>
      <c r="G2" s="49" t="s">
        <v>281</v>
      </c>
      <c r="H2" s="49" t="s">
        <v>282</v>
      </c>
      <c r="I2" s="49" t="s">
        <v>283</v>
      </c>
      <c r="J2" s="49" t="s">
        <v>284</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285</v>
      </c>
      <c r="B4" s="13" t="n">
        <f aca="false">SUM(Model!B10:M10)</f>
        <v>3623909.8675</v>
      </c>
      <c r="C4" s="13" t="n">
        <f aca="false">SUM(Model!N10:Y10)</f>
        <v>5945649.30175837</v>
      </c>
      <c r="D4" s="13" t="n">
        <f aca="false">SUM(Model!Z10:AK10)</f>
        <v>4262572.73911381</v>
      </c>
      <c r="E4" s="13" t="n">
        <f aca="false">SUM(Model!AL10:AW10)</f>
        <v>1795345.49055058</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286</v>
      </c>
      <c r="B5" s="13" t="n">
        <f aca="false">SUM(Model!B11:M11)</f>
        <v>2694237.0225</v>
      </c>
      <c r="C5" s="13" t="n">
        <f aca="false">SUM(Model!N11:Y11)</f>
        <v>4524183.60264794</v>
      </c>
      <c r="D5" s="13" t="n">
        <f aca="false">SUM(Model!Z11:AK11)</f>
        <v>3259508.90152174</v>
      </c>
      <c r="E5" s="13" t="n">
        <f aca="false">SUM(Model!AL11:AW11)</f>
        <v>1353697.33204052</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287</v>
      </c>
      <c r="B6" s="13" t="n">
        <f aca="false">SUM(Model!B57:M57)</f>
        <v>49952696.9909994</v>
      </c>
      <c r="C6" s="13" t="n">
        <f aca="false">SUM(Model!N57:Y57)</f>
        <v>77034532.2133675</v>
      </c>
      <c r="D6" s="13" t="n">
        <f aca="false">SUM(Model!Z57:AK57)</f>
        <v>62702039.1473063</v>
      </c>
      <c r="E6" s="13" t="n">
        <f aca="false">SUM(Model!AL57:AW57)</f>
        <v>17194544.0677739</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56270843.8809994</v>
      </c>
      <c r="C7" s="30" t="n">
        <f aca="false">SUM(Model!N58:Y58)</f>
        <v>87504365.1177738</v>
      </c>
      <c r="D7" s="30" t="n">
        <f aca="false">SUM(Model!Z58:AK58)</f>
        <v>70224120.7879419</v>
      </c>
      <c r="E7" s="30" t="n">
        <f aca="false">SUM(Model!AL58:AW58)</f>
        <v>20343586.890365</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-49794860.6109994</v>
      </c>
      <c r="C8" s="13" t="n">
        <f aca="false">SUM(Model!N104:Y104)</f>
        <v>-77542004.0433675</v>
      </c>
      <c r="D8" s="13" t="n">
        <f aca="false">SUM(Model!Z104:AK104)</f>
        <v>-62696260.3573063</v>
      </c>
      <c r="E8" s="13" t="n">
        <f aca="false">SUM(Model!AL104:AW104)</f>
        <v>-17193829.6877739</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288</v>
      </c>
      <c r="B9" s="13" t="n">
        <f aca="false">SUM(Model!B150:M150)</f>
        <v>1569215.94</v>
      </c>
      <c r="C9" s="13" t="n">
        <f aca="false">SUM(Model!N150:Y150)</f>
        <v>887583.725490196</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289</v>
      </c>
      <c r="B10" s="13" t="n">
        <f aca="false">SUM(Model!B196:M196)</f>
        <v>-391167.79225</v>
      </c>
      <c r="C10" s="13" t="n">
        <f aca="false">SUM(Model!N196:Y196)</f>
        <v>-583586.299509804</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290</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291</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6083558.00775</v>
      </c>
      <c r="C13" s="32" t="n">
        <f aca="false">SUM(Model!N199:Y199)</f>
        <v>9371471.65489649</v>
      </c>
      <c r="D13" s="32" t="n">
        <f aca="false">SUM(Model!Z199:AK199)</f>
        <v>7522081.64063555</v>
      </c>
      <c r="E13" s="32" t="n">
        <f aca="false">SUM(Model!AL199:AW199)</f>
        <v>3149042.8225911</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0.10811208057614</v>
      </c>
      <c r="C14" s="78" t="n">
        <f aca="false">IFERROR(C13/C7,0)</f>
        <v>0.107097190434823</v>
      </c>
      <c r="D14" s="78" t="n">
        <f aca="false">IFERROR(D13/D7,0)</f>
        <v>0.107115355183303</v>
      </c>
      <c r="E14" s="78" t="n">
        <f aca="false">IFERROR(E13/E7,0)</f>
        <v>0.154792900561824</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292</v>
      </c>
      <c r="B17" s="13" t="n">
        <f aca="false">SUM(Model!B203:M204)+SUM(Model!B206:M210)</f>
        <v>-3052561.059</v>
      </c>
      <c r="C17" s="13" t="n">
        <f aca="false">SUM(Model!N203:Y204)+SUM(Model!N206:Y210)</f>
        <v>-4593034.136</v>
      </c>
      <c r="D17" s="13" t="n">
        <f aca="false">SUM(Model!Z203:AK204)+SUM(Model!Z206:AK210)</f>
        <v>-4150160.76872</v>
      </c>
      <c r="E17" s="13" t="n">
        <f aca="false">SUM(Model!AL203:AW204)+SUM(Model!AL206:AW210)</f>
        <v>-4064153.9430944</v>
      </c>
      <c r="F17" s="13" t="n">
        <f aca="false">SUM(Model!AX203:BI204)+SUM(Model!AX206:BI210)</f>
        <v>-4141437.02195629</v>
      </c>
      <c r="G17" s="13" t="n">
        <f aca="false">SUM(Model!BJ203:BU204)+SUM(Model!BJ206:BU210)</f>
        <v>-4220265.76239541</v>
      </c>
      <c r="H17" s="13" t="n">
        <f aca="false">SUM(Model!BV203:CG204)+SUM(Model!BV206:CG210)</f>
        <v>-4300671.07764332</v>
      </c>
      <c r="I17" s="13" t="n">
        <f aca="false">SUM(Model!CH203:CS204)+SUM(Model!CH206:CS210)</f>
        <v>-4382684.49919619</v>
      </c>
      <c r="J17" s="13" t="n">
        <f aca="false">SUM(Model!CT203:DE204)+SUM(Model!CT206:DE210)</f>
        <v>-3979832.89476803</v>
      </c>
    </row>
    <row r="18" customFormat="false" ht="15" hidden="false" customHeight="true" outlineLevel="0" collapsed="false">
      <c r="A18" s="22" t="s">
        <v>293</v>
      </c>
      <c r="B18" s="13" t="n">
        <f aca="false">SUM(Model!B211:M233)+SUM(Model!B235:M235)</f>
        <v>-1033633.75</v>
      </c>
      <c r="C18" s="13" t="n">
        <f aca="false">SUM(Model!N211:Y233)+SUM(Model!N235:Y235)</f>
        <v>-919089.92</v>
      </c>
      <c r="D18" s="13" t="n">
        <f aca="false">SUM(Model!Z211:AK233)+SUM(Model!Z235:AK235)</f>
        <v>-916175.564553846</v>
      </c>
      <c r="E18" s="13" t="n">
        <f aca="false">SUM(Model!AL211:AW233)+SUM(Model!AL235:AW235)</f>
        <v>-862090.152768</v>
      </c>
      <c r="F18" s="13" t="n">
        <f aca="false">SUM(Model!AX211:BI233)+SUM(Model!AX235:BI235)</f>
        <v>-874399.95582336</v>
      </c>
      <c r="G18" s="13" t="n">
        <f aca="false">SUM(Model!BJ211:BU233)+SUM(Model!BJ235:BU235)</f>
        <v>-886955.954939827</v>
      </c>
      <c r="H18" s="13" t="n">
        <f aca="false">SUM(Model!BV211:CG233)+SUM(Model!BV235:CG235)</f>
        <v>-899763.074038624</v>
      </c>
      <c r="I18" s="13" t="n">
        <f aca="false">SUM(Model!CH211:CS233)+SUM(Model!CH235:CS235)</f>
        <v>-912826.335519396</v>
      </c>
      <c r="J18" s="13" t="n">
        <f aca="false">SUM(Model!CT211:DE233)+SUM(Model!CT235:DE235)</f>
        <v>-926150.862229784</v>
      </c>
    </row>
    <row r="19" customFormat="false" ht="15" hidden="false" customHeight="true" outlineLevel="0" collapsed="false">
      <c r="A19" s="22" t="s">
        <v>294</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295</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-4091637.219</v>
      </c>
      <c r="C21" s="30" t="n">
        <f aca="false">SUM(Model!N236:Y236)</f>
        <v>-5512124.056</v>
      </c>
      <c r="D21" s="30" t="n">
        <f aca="false">SUM(Model!Z236:AK236)</f>
        <v>-5066336.33327385</v>
      </c>
      <c r="E21" s="30" t="n">
        <f aca="false">SUM(Model!AL236:AW236)</f>
        <v>-4926244.0958624</v>
      </c>
      <c r="F21" s="30" t="n">
        <f aca="false">SUM(Model!AX236:BI236)</f>
        <v>-5015836.97777965</v>
      </c>
      <c r="G21" s="30" t="n">
        <f aca="false">SUM(Model!BJ236:BU236)</f>
        <v>-5107221.71733524</v>
      </c>
      <c r="H21" s="30" t="n">
        <f aca="false">SUM(Model!BV236:CG236)</f>
        <v>-5200434.15168195</v>
      </c>
      <c r="I21" s="30" t="n">
        <f aca="false">SUM(Model!CH236:CS236)</f>
        <v>-5295510.83471559</v>
      </c>
      <c r="J21" s="30" t="n">
        <f aca="false">SUM(Model!CT236:DE236)</f>
        <v>-4905983.75699781</v>
      </c>
    </row>
    <row r="22" customFormat="false" ht="15" hidden="false" customHeight="true" outlineLevel="0" collapsed="false">
      <c r="A22" s="29" t="s">
        <v>98</v>
      </c>
      <c r="B22" s="30" t="n">
        <f aca="false">SUM(Model!B237:M237)</f>
        <v>1991920.78875</v>
      </c>
      <c r="C22" s="30" t="n">
        <f aca="false">SUM(Model!N237:Y237)</f>
        <v>3859347.5988965</v>
      </c>
      <c r="D22" s="30" t="n">
        <f aca="false">SUM(Model!Z237:AK237)</f>
        <v>2455745.3073617</v>
      </c>
      <c r="E22" s="30" t="n">
        <f aca="false">SUM(Model!AL237:AW237)</f>
        <v>-1777201.2732713</v>
      </c>
      <c r="F22" s="30" t="n">
        <f aca="false">SUM(Model!AX237:BI237)</f>
        <v>-5015836.97777965</v>
      </c>
      <c r="G22" s="30" t="n">
        <f aca="false">SUM(Model!BJ237:BU237)</f>
        <v>-5107221.71733524</v>
      </c>
      <c r="H22" s="30" t="n">
        <f aca="false">SUM(Model!BV237:CG237)</f>
        <v>-5200434.15168195</v>
      </c>
      <c r="I22" s="30" t="n">
        <f aca="false">SUM(Model!CH237:CS237)</f>
        <v>-5295510.83471559</v>
      </c>
      <c r="J22" s="30" t="n">
        <f aca="false">SUM(Model!CT237:DE237)</f>
        <v>-4905983.75699781</v>
      </c>
    </row>
    <row r="23" customFormat="false" ht="15" hidden="false" customHeight="true" outlineLevel="0" collapsed="false">
      <c r="A23" s="22" t="s">
        <v>99</v>
      </c>
      <c r="B23" s="78" t="n">
        <f aca="false">IFERROR(B22/B7,0)</f>
        <v>0.0353988078259939</v>
      </c>
      <c r="C23" s="78" t="n">
        <f aca="false">IFERROR(C22/C7,0)</f>
        <v>0.0441046294513665</v>
      </c>
      <c r="D23" s="78" t="n">
        <f aca="false">IFERROR(D22/D7,0)</f>
        <v>0.0349701111214678</v>
      </c>
      <c r="E23" s="78" t="n">
        <f aca="false">IFERROR(E22/E7,0)</f>
        <v>-0.0873592883520955</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911172.31</v>
      </c>
      <c r="C25" s="80" t="n">
        <f aca="false">Model!N261+Model!O261+Model!P261+Model!Q261+Model!R261+Model!S261+Model!T261+Model!U261+Model!V261+Model!W261+Model!X261+Model!Y261</f>
        <v>379044.078947368</v>
      </c>
      <c r="D25" s="80" t="n">
        <f aca="false">Model!Z261+Model!AA261+Model!AB261+Model!AC261+Model!AD261+Model!AE261+Model!AF261+Model!AG261+Model!AH261+Model!AI261+Model!AJ261+Model!AK261</f>
        <v>241318.421052632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600527</v>
      </c>
      <c r="I25" s="80" t="n">
        <f aca="false">Model!CH261+Model!CI261+Model!CJ261+Model!CK261+Model!CL261+Model!CM261+Model!CN261+Model!CO261+Model!CP261+Model!CQ261+Model!CR261+Model!CS261</f>
        <v>1578610</v>
      </c>
      <c r="J25" s="80" t="n">
        <f aca="false">Model!CT261+Model!CU261+Model!CV261+Model!CW261+Model!CX261+Model!CY261+Model!CZ261+Model!DA261+Model!DB261+Model!DC261+Model!DD261+Model!DE261</f>
        <v>1894332</v>
      </c>
    </row>
    <row r="26" customFormat="false" ht="15" hidden="false" customHeight="true" outlineLevel="0" collapsed="false">
      <c r="A26" s="22" t="s">
        <v>122</v>
      </c>
      <c r="B26" s="13" t="n">
        <f aca="false">Model!E292+Model!F292+Model!G292+Model!H292+Model!I292+Model!J292+Model!K292+Model!L292+Model!M292+Model!B292+Model!C292+Model!D292</f>
        <v>-2431727.65</v>
      </c>
      <c r="C26" s="13" t="n">
        <f aca="false">Model!N292+Model!O292+Model!P292+Model!Q292+Model!R292+Model!S292+Model!T292+Model!U292+Model!V292+Model!W292+Model!X292+Model!Y292</f>
        <v>-2362237.94</v>
      </c>
      <c r="D26" s="13" t="n">
        <f aca="false">Model!Z292+Model!AA292+Model!AB292+Model!AC292+Model!AD292+Model!AE292+Model!AF292+Model!AG292+Model!AH292+Model!AI292+Model!AJ292+Model!AK292</f>
        <v>-2396444.5788</v>
      </c>
      <c r="E26" s="13" t="n">
        <f aca="false">Model!AL292+Model!AM292+Model!AN292+Model!AO292+Model!AP292+Model!AQ292+Model!AR292+Model!AS292+Model!AT292+Model!AU292+Model!AV292+Model!AW292</f>
        <v>-2603625.350376</v>
      </c>
      <c r="F26" s="13" t="n">
        <f aca="false">Model!AX292+Model!AY292+Model!AZ292+Model!BA292+Model!BB292+Model!BC292+Model!BD292+Model!BE292+Model!BF292+Model!BG292+Model!BH292+Model!BI292</f>
        <v>-3761909.43738352</v>
      </c>
      <c r="G26" s="13" t="n">
        <f aca="false">Model!BJ292+Model!BK292+Model!BL292+Model!BM292+Model!BN292+Model!BO292+Model!BP292+Model!BQ292+Model!BR292+Model!BS292+Model!BT292+Model!BU292</f>
        <v>-2956086.01613119</v>
      </c>
      <c r="H26" s="13" t="n">
        <f aca="false">Model!BV292+Model!BW292+Model!BX292+Model!BY292+Model!BZ292+Model!CA292+Model!CB292+Model!CC292+Model!CD292+Model!CE292+Model!CF292+Model!CG292</f>
        <v>-2889041.01345381</v>
      </c>
      <c r="I26" s="13" t="n">
        <f aca="false">Model!CH292+Model!CI292+Model!CJ292+Model!CK292+Model!CL292+Model!CM292+Model!CN292+Model!CO292+Model!CP292+Model!CQ292+Model!CR292+Model!CS292</f>
        <v>-2699217.58711641</v>
      </c>
      <c r="J26" s="13" t="n">
        <f aca="false">Model!CT292+Model!CU292+Model!CV292+Model!CW292+Model!CX292+Model!CY292+Model!CZ292+Model!DA292+Model!DB292+Model!DC292+Model!DD292+Model!DE292</f>
        <v>-2601089.98748181</v>
      </c>
    </row>
    <row r="27" customFormat="false" ht="15" hidden="false" customHeight="true" outlineLevel="0" collapsed="false">
      <c r="A27" s="36" t="s">
        <v>140</v>
      </c>
      <c r="B27" s="37" t="n">
        <f aca="false">Model!E293+Model!F293+Model!G293+Model!H293+Model!I293+Model!J293+Model!K293+Model!L293+Model!M293+Model!B293+Model!C293+Model!D293</f>
        <v>-1520555.34</v>
      </c>
      <c r="C27" s="37" t="n">
        <f aca="false">Model!N293+Model!O293+Model!P293+Model!Q293+Model!R293+Model!S293+Model!T293+Model!U293+Model!V293+Model!W293+Model!X293+Model!Y293</f>
        <v>-1983193.86105263</v>
      </c>
      <c r="D27" s="37" t="n">
        <f aca="false">Model!Z293+Model!AA293+Model!AB293+Model!AC293+Model!AD293+Model!AE293+Model!AF293+Model!AG293+Model!AH293+Model!AI293+Model!AJ293+Model!AK293</f>
        <v>-2155126.15774737</v>
      </c>
      <c r="E27" s="37" t="n">
        <f aca="false">Model!AL293+Model!AM293+Model!AN293+Model!AO293+Model!AP293+Model!AQ293+Model!AR293+Model!AS293+Model!AT293+Model!AU293+Model!AV293+Model!AW293</f>
        <v>-2440260.350376</v>
      </c>
      <c r="F27" s="37" t="n">
        <f aca="false">Model!AX293+Model!AY293+Model!AZ293+Model!BA293+Model!BB293+Model!BC293+Model!BD293+Model!BE293+Model!BF293+Model!BG293+Model!BH293+Model!BI293</f>
        <v>-2484952.43738352</v>
      </c>
      <c r="G27" s="37" t="n">
        <f aca="false">Model!BJ293+Model!BK293+Model!BL293+Model!BM293+Model!BN293+Model!BO293+Model!BP293+Model!BQ293+Model!BR293+Model!BS293+Model!BT293+Model!BU293</f>
        <v>-2409526.01613119</v>
      </c>
      <c r="H27" s="37" t="n">
        <f aca="false">Model!BV293+Model!BW293+Model!BX293+Model!BY293+Model!BZ293+Model!CA293+Model!CB293+Model!CC293+Model!CD293+Model!CE293+Model!CF293+Model!CG293</f>
        <v>-2288514.01345381</v>
      </c>
      <c r="I27" s="37" t="n">
        <f aca="false">Model!CH293+Model!CI293+Model!CJ293+Model!CK293+Model!CL293+Model!CM293+Model!CN293+Model!CO293+Model!CP293+Model!CQ293+Model!CR293+Model!CS293</f>
        <v>-1120607.58711641</v>
      </c>
      <c r="J27" s="37" t="n">
        <f aca="false">Model!CT293+Model!CU293+Model!CV293+Model!CW293+Model!CX293+Model!CY293+Model!CZ293+Model!DA293+Model!DB293+Model!DC293+Model!DD293+Model!DE293</f>
        <v>-706757.987481805</v>
      </c>
    </row>
    <row r="28" customFormat="false" ht="15" hidden="false" customHeight="true" outlineLevel="0" collapsed="false">
      <c r="A28" s="22" t="s">
        <v>296</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297</v>
      </c>
      <c r="B30" s="37" t="n">
        <f aca="false">Model!E308+Model!F308+Model!G308+Model!H308+Model!I308+Model!J308+Model!K308+Model!L308+Model!M308+Model!B308+Model!C308+Model!D308</f>
        <v>474689.637400002</v>
      </c>
      <c r="C30" s="37" t="n">
        <f aca="false">Model!N308+Model!O308+Model!P308+Model!Q308+Model!R308+Model!S308+Model!T308+Model!U308+Model!V308+Model!W308+Model!X308+Model!Y308</f>
        <v>1877069.12087686</v>
      </c>
      <c r="D30" s="37" t="n">
        <f aca="false">Model!Z308+Model!AA308+Model!AB308+Model!AC308+Model!AD308+Model!AE308+Model!AF308+Model!AG308+Model!AH308+Model!AI308+Model!AJ308+Model!AK308</f>
        <v>300619.149614336</v>
      </c>
      <c r="E30" s="37" t="n">
        <f aca="false">Model!AL308+Model!AM308+Model!AN308+Model!AO308+Model!AP308+Model!AQ308+Model!AR308+Model!AS308+Model!AT308+Model!AU308+Model!AV308+Model!AW308</f>
        <v>-4217461.62364731</v>
      </c>
      <c r="F30" s="37" t="n">
        <f aca="false">Model!AX308+Model!AY308+Model!AZ308+Model!BA308+Model!BB308+Model!BC308+Model!BD308+Model!BE308+Model!BF308+Model!BG308+Model!BH308+Model!BI308</f>
        <v>-7500789.41516317</v>
      </c>
      <c r="G30" s="37" t="n">
        <f aca="false">Model!BJ308+Model!BK308+Model!BL308+Model!BM308+Model!BN308+Model!BO308+Model!BP308+Model!BQ308+Model!BR308+Model!BS308+Model!BT308+Model!BU308</f>
        <v>-7516747.73346643</v>
      </c>
      <c r="H30" s="37" t="n">
        <f aca="false">Model!BV308+Model!BW308+Model!BX308+Model!BY308+Model!BZ308+Model!CA308+Model!CB308+Model!CC308+Model!CD308+Model!CE308+Model!CF308+Model!CG308</f>
        <v>-7488948.16513576</v>
      </c>
      <c r="I30" s="37" t="n">
        <f aca="false">Model!CH308+Model!CI308+Model!CJ308+Model!CK308+Model!CL308+Model!CM308+Model!CN308+Model!CO308+Model!CP308+Model!CQ308+Model!CR308+Model!CS308</f>
        <v>-6416118.421832</v>
      </c>
      <c r="J30" s="37" t="n">
        <f aca="false">Model!CT308+Model!CU308+Model!CV308+Model!CW308+Model!CX308+Model!CY308+Model!CZ308+Model!DA308+Model!DB308+Model!DC308+Model!DD308+Model!DE308</f>
        <v>-5612741.74447962</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298</v>
      </c>
      <c r="B32" s="25"/>
      <c r="C32" s="25"/>
      <c r="D32" s="25"/>
      <c r="E32" s="25"/>
      <c r="F32" s="25"/>
      <c r="G32" s="25"/>
      <c r="H32" s="25"/>
      <c r="I32" s="25"/>
      <c r="J32" s="25"/>
    </row>
    <row r="33" customFormat="false" ht="15" hidden="false" customHeight="true" outlineLevel="0" collapsed="false">
      <c r="A33" s="22" t="s">
        <v>299</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300</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301</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302</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303</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-0</v>
      </c>
      <c r="I37" s="13" t="n">
        <f aca="false">Model!CH291+Model!CI291+Model!CJ291+Model!CK291+Model!CL291+Model!CM291+Model!CN291+Model!CO291+Model!CP291+Model!CQ291+Model!CR291+Model!CS291</f>
        <v>-0</v>
      </c>
      <c r="J37" s="13" t="n">
        <f aca="false">Model!CT291+Model!CU291+Model!CV291+Model!CW291+Model!CX291+Model!CY291+Model!CZ291+Model!DA291+Model!DB291+Model!DC291+Model!DD291+Model!DE291</f>
        <v>-0</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304</v>
      </c>
      <c r="B39" s="25"/>
      <c r="C39" s="25"/>
      <c r="D39" s="25"/>
      <c r="E39" s="25"/>
      <c r="F39" s="25"/>
      <c r="G39" s="25"/>
      <c r="H39" s="25"/>
      <c r="I39" s="25"/>
      <c r="J39" s="25"/>
    </row>
    <row r="40" customFormat="false" ht="15" hidden="false" customHeight="true" outlineLevel="0" collapsed="false">
      <c r="A40" s="22" t="s">
        <v>305</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306</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307</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0</v>
      </c>
      <c r="F42" s="13" t="n">
        <f aca="false">Model!AX322+Model!AY322+Model!AZ322+Model!BA322+Model!BB322+Model!BC322+Model!BD322+Model!BE322+Model!BF322+Model!BG322+Model!BH322+Model!BI322</f>
        <v>0</v>
      </c>
      <c r="G42" s="13" t="n">
        <f aca="false">Model!BJ322+Model!BK322+Model!BL322+Model!BM322+Model!BN322+Model!BO322+Model!BP322+Model!BQ322+Model!BR322+Model!BS322+Model!BT322+Model!BU322</f>
        <v>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308</v>
      </c>
      <c r="B43" s="13" t="n">
        <f aca="false">Model!M323</f>
        <v>1000000</v>
      </c>
      <c r="C43" s="13" t="n">
        <f aca="false">Model!Y323</f>
        <v>1000000</v>
      </c>
      <c r="D43" s="13" t="n">
        <f aca="false">Model!AK323</f>
        <v>750000</v>
      </c>
      <c r="E43" s="13" t="n">
        <f aca="false">Model!AW323</f>
        <v>750000</v>
      </c>
      <c r="F43" s="13" t="n">
        <f aca="false">Model!BI323</f>
        <v>750000</v>
      </c>
      <c r="G43" s="13" t="n">
        <f aca="false">Model!BU323</f>
        <v>750000</v>
      </c>
      <c r="H43" s="13" t="n">
        <f aca="false">Model!CG323</f>
        <v>750000</v>
      </c>
      <c r="I43" s="13" t="n">
        <f aca="false">Model!CS323</f>
        <v>750000</v>
      </c>
      <c r="J43" s="13" t="n">
        <f aca="false">Model!DE323</f>
        <v>750000</v>
      </c>
    </row>
    <row r="44" customFormat="false" ht="15" hidden="false" customHeight="true" outlineLevel="0" collapsed="false">
      <c r="A44" s="22" t="s">
        <v>309</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310</v>
      </c>
      <c r="B45" s="13" t="n">
        <f aca="false">Model!M330+Model!M335+Model!M340+Model!M345</f>
        <v>1695181.94921875</v>
      </c>
      <c r="C45" s="13" t="n">
        <f aca="false">Model!Y330+Model!Y335+Model!Y340+Model!Y345</f>
        <v>630279.327378641</v>
      </c>
      <c r="D45" s="13" t="n">
        <f aca="false">Model!AK330+Model!AK335+Model!AK340+Model!AK345</f>
        <v>730273.404257803</v>
      </c>
      <c r="E45" s="13" t="n">
        <f aca="false">Model!AW330+Model!AW335+Model!AW340+Model!AW345</f>
        <v>846131.582935293</v>
      </c>
      <c r="F45" s="13" t="n">
        <f aca="false">Model!BI330+Model!BI335+Model!BI340+Model!BI345</f>
        <v>566072.415105011</v>
      </c>
      <c r="G45" s="13" t="n">
        <f aca="false">Model!BU330+Model!BU335+Model!BU340+Model!BU345</f>
        <v>346547.082648898</v>
      </c>
      <c r="H45" s="13" t="n">
        <f aca="false">Model!CG330+Model!CG335+Model!CG340+Model!CG345</f>
        <v>72052.0225479718</v>
      </c>
      <c r="I45" s="13" t="n">
        <f aca="false">Model!CS330+Model!CS335+Model!CS340+Model!CS345</f>
        <v>0</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311</v>
      </c>
      <c r="B47" s="13" t="n">
        <f aca="false">Model!M356</f>
        <v>73141594.1403182</v>
      </c>
      <c r="C47" s="13" t="n">
        <f aca="false">Model!Y356</f>
        <v>83479181.902343</v>
      </c>
      <c r="D47" s="13" t="n">
        <f aca="false">Model!AK356</f>
        <v>17213731.86939</v>
      </c>
      <c r="E47" s="13" t="n">
        <f aca="false">Model!AW356</f>
        <v>0</v>
      </c>
      <c r="F47" s="13" t="n">
        <f aca="false">Model!BI356</f>
        <v>0</v>
      </c>
      <c r="G47" s="13" t="n">
        <f aca="false">Model!BU356</f>
        <v>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195</v>
      </c>
      <c r="B49" s="83" t="n">
        <f aca="false">Model!M369</f>
        <v>1970326.28</v>
      </c>
      <c r="C49" s="83" t="n">
        <f aca="false">Model!Y369</f>
        <v>4127390.89551343</v>
      </c>
      <c r="D49" s="83" t="n">
        <f aca="false">Model!AK369</f>
        <v>6968248.26436434</v>
      </c>
      <c r="E49" s="83" t="n">
        <f aca="false">Model!AW369</f>
        <v>6095240.40135868</v>
      </c>
      <c r="F49" s="83" t="n">
        <f aca="false">Model!BI369</f>
        <v>1079403.42357903</v>
      </c>
      <c r="G49" s="83" t="n">
        <f aca="false">Model!BU369</f>
        <v>-4027818.29375621</v>
      </c>
      <c r="H49" s="83" t="n">
        <f aca="false">Model!CG369</f>
        <v>-9228252.44543816</v>
      </c>
      <c r="I49" s="83" t="n">
        <f aca="false">Model!CS369</f>
        <v>-14523763.2801537</v>
      </c>
      <c r="J49" s="83" t="n">
        <f aca="false">Model!DE369</f>
        <v>-19429747.0371516</v>
      </c>
    </row>
    <row r="50" customFormat="false" ht="15" hidden="false" customHeight="true" outlineLevel="0" collapsed="false">
      <c r="A50" s="82" t="s">
        <v>312</v>
      </c>
      <c r="B50" s="83" t="n">
        <f aca="false">Model!M378</f>
        <v>-183100.46135</v>
      </c>
      <c r="C50" s="83" t="n">
        <f aca="false">Model!Y378</f>
        <v>-2964147.82698183</v>
      </c>
      <c r="D50" s="83" t="n">
        <f aca="false">Model!AK378</f>
        <v>-7657439.75253026</v>
      </c>
      <c r="E50" s="83" t="n">
        <f aca="false">Model!AW378</f>
        <v>-10543030.7432466</v>
      </c>
      <c r="F50" s="83" t="n">
        <f aca="false">Model!BI378</f>
        <v>-13027983.1806301</v>
      </c>
      <c r="G50" s="83" t="n">
        <f aca="false">Model!BU378</f>
        <v>-15437509.1967613</v>
      </c>
      <c r="H50" s="83" t="n">
        <f aca="false">Model!CG378</f>
        <v>-17726023.2102151</v>
      </c>
      <c r="I50" s="83" t="n">
        <f aca="false">Model!CS378</f>
        <v>-18846630.7973315</v>
      </c>
      <c r="J50" s="83" t="n">
        <f aca="false">Model!DE378</f>
        <v>-19553388.7848134</v>
      </c>
    </row>
    <row r="51" customFormat="false" ht="15" hidden="false" customHeight="true" outlineLevel="0" collapsed="false">
      <c r="A51" s="82" t="s">
        <v>313</v>
      </c>
      <c r="B51" s="83" t="n">
        <f aca="false">Model!E382+Model!F382+Model!G382+Model!H382+Model!I382+Model!J382+Model!K382+Model!L382+Model!M382+Model!B382+Model!C382+Model!D382</f>
        <v>0</v>
      </c>
      <c r="C51" s="83" t="n">
        <f aca="false">Model!N382+Model!O382+Model!P382+Model!Q382+Model!R382+Model!S382+Model!T382+Model!U382+Model!V382+Model!W382+Model!X382+Model!Y382</f>
        <v>-238768.887612201</v>
      </c>
      <c r="D51" s="83" t="n">
        <f aca="false">Model!Z382+Model!AA382+Model!AB382+Model!AC382+Model!AD382+Model!AE382+Model!AF382+Model!AG382+Model!AH382+Model!AI382+Model!AJ382+Model!AK382</f>
        <v>-944165.767801063</v>
      </c>
      <c r="E51" s="83" t="n">
        <f aca="false">Model!AL382+Model!AM382+Model!AN382+Model!AO382+Model!AP382+Model!AQ382+Model!AR382+Model!AS382+Model!AT382+Model!AU382+Model!AV382+Model!AW382</f>
        <v>-151211.432256011</v>
      </c>
      <c r="F51" s="83" t="n">
        <f aca="false">Model!AX382+Model!AY382+Model!AZ382+Model!BA382+Model!BB382+Model!BC382+Model!BD382+Model!BE382+Model!BF382+Model!BG382+Model!BH382+Model!BI382</f>
        <v>0</v>
      </c>
      <c r="G51" s="83" t="n">
        <f aca="false">Model!BJ382+Model!BK382+Model!BL382+Model!BM382+Model!BN382+Model!BO382+Model!BP382+Model!BQ382+Model!BR382+Model!BS382+Model!BT382+Model!BU382</f>
        <v>0</v>
      </c>
      <c r="H51" s="83" t="n">
        <f aca="false">Model!BV382+Model!BW382+Model!BX382+Model!BY382+Model!BZ382+Model!CA382+Model!CB382+Model!CC382+Model!CD382+Model!CE382+Model!CF382+Model!CG382</f>
        <v>0</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314</v>
      </c>
      <c r="B52" s="84" t="n">
        <f aca="false">Model!M383</f>
        <v>1787225.81865</v>
      </c>
      <c r="C52" s="84" t="n">
        <f aca="false">Model!Y383</f>
        <v>1163243.0685316</v>
      </c>
      <c r="D52" s="84" t="n">
        <f aca="false">Model!AK383</f>
        <v>-689191.488165925</v>
      </c>
      <c r="E52" s="84" t="n">
        <f aca="false">Model!AW383</f>
        <v>-4447790.34188791</v>
      </c>
      <c r="F52" s="84" t="n">
        <f aca="false">Model!BI383</f>
        <v>-11948579.7570511</v>
      </c>
      <c r="G52" s="84" t="n">
        <f aca="false">Model!BU383</f>
        <v>-19465327.4905175</v>
      </c>
      <c r="H52" s="84" t="n">
        <f aca="false">Model!CG383</f>
        <v>-26954275.6556533</v>
      </c>
      <c r="I52" s="84" t="n">
        <f aca="false">Model!CS383</f>
        <v>-33370394.0774853</v>
      </c>
      <c r="J52" s="84" t="n">
        <f aca="false">Model!DE383</f>
        <v>-38983135.8219649</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275</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285</v>
      </c>
      <c r="B4" s="13" t="n">
        <f aca="false">SUM(Model!B10:D10)</f>
        <v>474538.45</v>
      </c>
      <c r="C4" s="13" t="n">
        <f aca="false">SUM(Model!E10:G10)</f>
        <v>854579.17</v>
      </c>
      <c r="D4" s="13" t="n">
        <f aca="false">SUM(Model!H10:J10)</f>
        <v>1239873.52</v>
      </c>
      <c r="E4" s="13" t="n">
        <f aca="false">SUM(Model!K10:M10)</f>
        <v>1054918.7275</v>
      </c>
      <c r="F4" s="13" t="n">
        <f aca="false">SUM(Model!N10:P10)</f>
        <v>1280248.57992325</v>
      </c>
      <c r="G4" s="13" t="n">
        <f aca="false">SUM(Model!Q10:S10)</f>
        <v>1402485.72346559</v>
      </c>
      <c r="H4" s="13" t="n">
        <f aca="false">SUM(Model!T10:V10)</f>
        <v>1775958.73918476</v>
      </c>
      <c r="I4" s="13" t="n">
        <f aca="false">SUM(Model!W10:Y10)</f>
        <v>1486956.25918476</v>
      </c>
      <c r="J4" s="13" t="n">
        <f aca="false">SUM(Model!Z10:AB10)</f>
        <v>1354918.82918476</v>
      </c>
      <c r="K4" s="13" t="n">
        <f aca="false">SUM(Model!AC10:AE10)</f>
        <v>1009618.90918476</v>
      </c>
      <c r="L4" s="13" t="n">
        <f aca="false">SUM(Model!AF10:AH10)</f>
        <v>1125679.81216551</v>
      </c>
      <c r="M4" s="13" t="n">
        <f aca="false">SUM(Model!AI10:AK10)</f>
        <v>772355.188578764</v>
      </c>
      <c r="N4" s="13" t="n">
        <f aca="false">SUM(Model!AL10:AN10)</f>
        <v>654587.068578764</v>
      </c>
      <c r="O4" s="13" t="n">
        <f aca="false">SUM(Model!AO10:AQ10)</f>
        <v>491981.871523897</v>
      </c>
      <c r="P4" s="13" t="n">
        <f aca="false">SUM(Model!AR10:AT10)</f>
        <v>295842.10700425</v>
      </c>
      <c r="Q4" s="13" t="n">
        <f aca="false">SUM(Model!AU10:AW10)</f>
        <v>352934.443443667</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286</v>
      </c>
      <c r="B5" s="13" t="n">
        <f aca="false">SUM(Model!B11:D11)</f>
        <v>319091.99</v>
      </c>
      <c r="C5" s="13" t="n">
        <f aca="false">SUM(Model!E11:G11)</f>
        <v>669542.47</v>
      </c>
      <c r="D5" s="13" t="n">
        <f aca="false">SUM(Model!H11:J11)</f>
        <v>887292.11</v>
      </c>
      <c r="E5" s="13" t="n">
        <f aca="false">SUM(Model!K11:M11)</f>
        <v>818310.4525</v>
      </c>
      <c r="F5" s="13" t="n">
        <f aca="false">SUM(Model!N11:P11)</f>
        <v>974851.0131946</v>
      </c>
      <c r="G5" s="13" t="n">
        <f aca="false">SUM(Model!Q11:S11)</f>
        <v>1058197.93934636</v>
      </c>
      <c r="H5" s="13" t="n">
        <f aca="false">SUM(Model!T11:V11)</f>
        <v>1344702.12005349</v>
      </c>
      <c r="I5" s="13" t="n">
        <f aca="false">SUM(Model!W11:Y11)</f>
        <v>1146432.53005349</v>
      </c>
      <c r="J5" s="13" t="n">
        <f aca="false">SUM(Model!Z11:AB11)</f>
        <v>1040424.65005349</v>
      </c>
      <c r="K5" s="13" t="n">
        <f aca="false">SUM(Model!AC11:AE11)</f>
        <v>766794.330053486</v>
      </c>
      <c r="L5" s="13" t="n">
        <f aca="false">SUM(Model!AF11:AH11)</f>
        <v>861082.730354086</v>
      </c>
      <c r="M5" s="13" t="n">
        <f aca="false">SUM(Model!AI11:AK11)</f>
        <v>591207.191060686</v>
      </c>
      <c r="N5" s="13" t="n">
        <f aca="false">SUM(Model!AL11:AN11)</f>
        <v>498132.661060686</v>
      </c>
      <c r="O5" s="13" t="n">
        <f aca="false">SUM(Model!AO11:AQ11)</f>
        <v>368984.615788167</v>
      </c>
      <c r="P5" s="13" t="n">
        <f aca="false">SUM(Model!AR11:AT11)</f>
        <v>221880.5051674</v>
      </c>
      <c r="Q5" s="13" t="n">
        <f aca="false">SUM(Model!AU11:AW11)</f>
        <v>264699.550024267</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287</v>
      </c>
      <c r="B6" s="13" t="n">
        <f aca="false">SUM(Model!B57:D57)</f>
        <v>6354898.1</v>
      </c>
      <c r="C6" s="13" t="n">
        <f aca="false">SUM(Model!E57:G57)</f>
        <v>12836560.87</v>
      </c>
      <c r="D6" s="13" t="n">
        <f aca="false">SUM(Model!H57:J57)</f>
        <v>17344045.05</v>
      </c>
      <c r="E6" s="13" t="n">
        <f aca="false">SUM(Model!K57:M57)</f>
        <v>13417192.9709994</v>
      </c>
      <c r="F6" s="13" t="n">
        <f aca="false">SUM(Model!N57:P57)</f>
        <v>15384481.0738101</v>
      </c>
      <c r="G6" s="13" t="n">
        <f aca="false">SUM(Model!Q57:S57)</f>
        <v>17471123.1350714</v>
      </c>
      <c r="H6" s="13" t="n">
        <f aca="false">SUM(Model!T57:V57)</f>
        <v>22762918.4594039</v>
      </c>
      <c r="I6" s="13" t="n">
        <f aca="false">SUM(Model!W57:Y57)</f>
        <v>21416009.545082</v>
      </c>
      <c r="J6" s="13" t="n">
        <f aca="false">SUM(Model!Z57:AB57)</f>
        <v>20352408.4421842</v>
      </c>
      <c r="K6" s="13" t="n">
        <f aca="false">SUM(Model!AC57:AE57)</f>
        <v>15122850.3673828</v>
      </c>
      <c r="L6" s="13" t="n">
        <f aca="false">SUM(Model!AF57:AH57)</f>
        <v>15115332.4020992</v>
      </c>
      <c r="M6" s="13" t="n">
        <f aca="false">SUM(Model!AI57:AK57)</f>
        <v>12111447.93564</v>
      </c>
      <c r="N6" s="13" t="n">
        <f aca="false">SUM(Model!AL57:AN57)</f>
        <v>9049647.1229957</v>
      </c>
      <c r="O6" s="13" t="n">
        <f aca="false">SUM(Model!AO57:AQ57)</f>
        <v>4481342.19563779</v>
      </c>
      <c r="P6" s="13" t="n">
        <f aca="false">SUM(Model!AR57:AT57)</f>
        <v>2714098.43197835</v>
      </c>
      <c r="Q6" s="13" t="n">
        <f aca="false">SUM(Model!AU57:AW57)</f>
        <v>949456.317162067</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15290422.1509994</v>
      </c>
      <c r="F7" s="88" t="n">
        <f aca="false">SUM(Model!N58:P58)</f>
        <v>17639580.666928</v>
      </c>
      <c r="G7" s="88" t="n">
        <f aca="false">SUM(Model!Q58:S58)</f>
        <v>19931806.7978834</v>
      </c>
      <c r="H7" s="88" t="n">
        <f aca="false">SUM(Model!T58:V58)</f>
        <v>25883579.3186421</v>
      </c>
      <c r="I7" s="88" t="n">
        <f aca="false">SUM(Model!W58:Y58)</f>
        <v>24049398.3343203</v>
      </c>
      <c r="J7" s="88" t="n">
        <f aca="false">SUM(Model!Z58:AB58)</f>
        <v>22747751.9214225</v>
      </c>
      <c r="K7" s="88" t="n">
        <f aca="false">SUM(Model!AC58:AE58)</f>
        <v>16899263.6066211</v>
      </c>
      <c r="L7" s="88" t="n">
        <f aca="false">SUM(Model!AF58:AH58)</f>
        <v>17102094.9446188</v>
      </c>
      <c r="M7" s="88" t="n">
        <f aca="false">SUM(Model!AI58:AK58)</f>
        <v>13475010.3152795</v>
      </c>
      <c r="N7" s="88" t="n">
        <f aca="false">SUM(Model!AL58:AN58)</f>
        <v>10202366.8526352</v>
      </c>
      <c r="O7" s="88" t="n">
        <f aca="false">SUM(Model!AO58:AQ58)</f>
        <v>5342308.68294985</v>
      </c>
      <c r="P7" s="88" t="n">
        <f aca="false">SUM(Model!AR58:AT58)</f>
        <v>3231821.04415</v>
      </c>
      <c r="Q7" s="88" t="n">
        <f aca="false">SUM(Model!AU58:AW58)</f>
        <v>1567090.31063</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-13801877.3609994</v>
      </c>
      <c r="F8" s="13" t="n">
        <f aca="false">SUM(Model!N104:P104)</f>
        <v>-15591332.8538101</v>
      </c>
      <c r="G8" s="13" t="n">
        <f aca="false">SUM(Model!Q104:S104)</f>
        <v>-17634552.2050714</v>
      </c>
      <c r="H8" s="13" t="n">
        <f aca="false">SUM(Model!T104:V104)</f>
        <v>-22899472.6894039</v>
      </c>
      <c r="I8" s="13" t="n">
        <f aca="false">SUM(Model!W104:Y104)</f>
        <v>-21416646.295082</v>
      </c>
      <c r="J8" s="13" t="n">
        <f aca="false">SUM(Model!Z104:AB104)</f>
        <v>-20350356.1421842</v>
      </c>
      <c r="K8" s="13" t="n">
        <f aca="false">SUM(Model!AC104:AE104)</f>
        <v>-15121947.3373828</v>
      </c>
      <c r="L8" s="13" t="n">
        <f aca="false">SUM(Model!AF104:AH104)</f>
        <v>-15113694.8420992</v>
      </c>
      <c r="M8" s="13" t="n">
        <f aca="false">SUM(Model!AI104:AK104)</f>
        <v>-12110262.0356401</v>
      </c>
      <c r="N8" s="13" t="n">
        <f aca="false">SUM(Model!AL104:AN104)</f>
        <v>-9048932.7429957</v>
      </c>
      <c r="O8" s="13" t="n">
        <f aca="false">SUM(Model!AO104:AQ104)</f>
        <v>-4481342.19563779</v>
      </c>
      <c r="P8" s="13" t="n">
        <f aca="false">SUM(Model!AR104:AT104)</f>
        <v>-2714098.43197835</v>
      </c>
      <c r="Q8" s="13" t="n">
        <f aca="false">SUM(Model!AU104:AW104)</f>
        <v>-949456.317162067</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288</v>
      </c>
      <c r="B9" s="13" t="n">
        <f aca="false">SUM(Model!B150:D150)</f>
        <v>0</v>
      </c>
      <c r="C9" s="13" t="n">
        <f aca="false">SUM(Model!E150:G150)</f>
        <v>0</v>
      </c>
      <c r="D9" s="13" t="n">
        <f aca="false">SUM(Model!H150:J150)</f>
        <v>1243016.25</v>
      </c>
      <c r="E9" s="13" t="n">
        <f aca="false">SUM(Model!K150:M150)</f>
        <v>326199.69</v>
      </c>
      <c r="F9" s="13" t="n">
        <f aca="false">SUM(Model!N150:P150)</f>
        <v>0</v>
      </c>
      <c r="G9" s="13" t="n">
        <f aca="false">SUM(Model!Q150:S150)</f>
        <v>887583.725490196</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289</v>
      </c>
      <c r="B10" s="13" t="n">
        <f aca="false">SUM(Model!B196:D196)</f>
        <v>0</v>
      </c>
      <c r="C10" s="13" t="n">
        <f aca="false">SUM(Model!E196:G196)</f>
        <v>0</v>
      </c>
      <c r="D10" s="13" t="n">
        <f aca="false">SUM(Model!H196:J196)</f>
        <v>-0.00512500014156103</v>
      </c>
      <c r="E10" s="13" t="n">
        <f aca="false">SUM(Model!K196:M196)</f>
        <v>-391167.787125</v>
      </c>
      <c r="F10" s="13" t="n">
        <f aca="false">SUM(Model!N196:P196)</f>
        <v>0</v>
      </c>
      <c r="G10" s="13" t="n">
        <f aca="false">SUM(Model!Q196:S196)</f>
        <v>-583586.299509804</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290</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291</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1096119.532875</v>
      </c>
      <c r="F13" s="32" t="n">
        <f aca="false">SUM(Model!N199:P199)</f>
        <v>2046853.37311785</v>
      </c>
      <c r="G13" s="32" t="n">
        <f aca="false">SUM(Model!Q199:S199)</f>
        <v>1712154.25330215</v>
      </c>
      <c r="H13" s="32" t="n">
        <f aca="false">SUM(Model!T199:V199)</f>
        <v>2982043.51923825</v>
      </c>
      <c r="I13" s="32" t="n">
        <f aca="false">SUM(Model!W199:Y199)</f>
        <v>2630420.50923825</v>
      </c>
      <c r="J13" s="32" t="n">
        <f aca="false">SUM(Model!Z199:AB199)</f>
        <v>2395343.47923825</v>
      </c>
      <c r="K13" s="32" t="n">
        <f aca="false">SUM(Model!AC199:AE199)</f>
        <v>1776413.23923825</v>
      </c>
      <c r="L13" s="32" t="n">
        <f aca="false">SUM(Model!AF199:AH199)</f>
        <v>1986762.5425196</v>
      </c>
      <c r="M13" s="32" t="n">
        <f aca="false">SUM(Model!AI199:AK199)</f>
        <v>1363562.37963945</v>
      </c>
      <c r="N13" s="32" t="n">
        <f aca="false">SUM(Model!AL199:AN199)</f>
        <v>1152719.72963945</v>
      </c>
      <c r="O13" s="32" t="n">
        <f aca="false">SUM(Model!AO199:AQ199)</f>
        <v>860966.487312064</v>
      </c>
      <c r="P13" s="32" t="n">
        <f aca="false">SUM(Model!AR199:AT199)</f>
        <v>517722.61217165</v>
      </c>
      <c r="Q13" s="32" t="n">
        <f aca="false">SUM(Model!AU199:AW199)</f>
        <v>617633.993467933</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0.0716866756228415</v>
      </c>
      <c r="F14" s="89" t="n">
        <f aca="false">IFERROR(F13/F7,0)</f>
        <v>0.116037530129922</v>
      </c>
      <c r="G14" s="89" t="n">
        <f aca="false">IFERROR(G13/G7,0)</f>
        <v>0.0859006045294381</v>
      </c>
      <c r="H14" s="89" t="n">
        <f aca="false">IFERROR(H13/H7,0)</f>
        <v>0.115209858827001</v>
      </c>
      <c r="I14" s="89" t="n">
        <f aca="false">IFERROR(I13/I7,0)</f>
        <v>0.109375730430829</v>
      </c>
      <c r="J14" s="89" t="n">
        <f aca="false">IFERROR(J13/J7,0)</f>
        <v>0.10530022867809</v>
      </c>
      <c r="K14" s="89" t="n">
        <f aca="false">IFERROR(K13/K7,0)</f>
        <v>0.105117789780039</v>
      </c>
      <c r="L14" s="89" t="n">
        <f aca="false">IFERROR(L13/L7,0)</f>
        <v>0.116170711772638</v>
      </c>
      <c r="M14" s="89" t="n">
        <f aca="false">IFERROR(M13/M7,0)</f>
        <v>0.101191935867633</v>
      </c>
      <c r="N14" s="89" t="n">
        <f aca="false">IFERROR(N13/N7,0)</f>
        <v>0.112985520545334</v>
      </c>
      <c r="O14" s="89" t="n">
        <f aca="false">IFERROR(O13/O7,0)</f>
        <v>0.161160003737685</v>
      </c>
      <c r="P14" s="89" t="n">
        <f aca="false">IFERROR(P13/P7,0)</f>
        <v>0.160195321801247</v>
      </c>
      <c r="Q14" s="89" t="n">
        <f aca="false">IFERROR(Q13/Q7,0)</f>
        <v>0.394127887383614</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292</v>
      </c>
      <c r="B17" s="13" t="n">
        <f aca="false">SUM(Model!B203:D204)+SUM(Model!B206:D210)</f>
        <v>-637683.26</v>
      </c>
      <c r="C17" s="13" t="n">
        <f aca="false">SUM(Model!E203:G204)+SUM(Model!E206:G210)</f>
        <v>-493512.62</v>
      </c>
      <c r="D17" s="13" t="n">
        <f aca="false">SUM(Model!H203:J204)+SUM(Model!H206:J210)</f>
        <v>-837179.77</v>
      </c>
      <c r="E17" s="13" t="n">
        <f aca="false">SUM(Model!K203:M204)+SUM(Model!K206:M210)</f>
        <v>-1084185.409</v>
      </c>
      <c r="F17" s="13" t="n">
        <f aca="false">SUM(Model!N203:P204)+SUM(Model!N206:P210)</f>
        <v>-996233.534</v>
      </c>
      <c r="G17" s="13" t="n">
        <f aca="false">SUM(Model!Q203:S204)+SUM(Model!Q206:S210)</f>
        <v>-1061158.534</v>
      </c>
      <c r="H17" s="13" t="n">
        <f aca="false">SUM(Model!T203:V204)+SUM(Model!T206:V210)</f>
        <v>-1167821.034</v>
      </c>
      <c r="I17" s="13" t="n">
        <f aca="false">SUM(Model!W203:Y204)+SUM(Model!W206:Y210)</f>
        <v>-1367821.034</v>
      </c>
      <c r="J17" s="13" t="n">
        <f aca="false">SUM(Model!Z203:AB204)+SUM(Model!Z206:AB210)</f>
        <v>-1081908.67968</v>
      </c>
      <c r="K17" s="13" t="n">
        <f aca="false">SUM(Model!AC203:AE204)+SUM(Model!AC206:AE210)</f>
        <v>-974058.97968</v>
      </c>
      <c r="L17" s="13" t="n">
        <f aca="false">SUM(Model!AF203:AH204)+SUM(Model!AF206:AH210)</f>
        <v>-947096.55468</v>
      </c>
      <c r="M17" s="13" t="n">
        <f aca="false">SUM(Model!AI203:AK204)+SUM(Model!AI206:AK210)</f>
        <v>-1147096.55468</v>
      </c>
      <c r="N17" s="13" t="n">
        <f aca="false">SUM(Model!AL203:AN204)+SUM(Model!AL206:AN210)</f>
        <v>-966038.4857736</v>
      </c>
      <c r="O17" s="13" t="n">
        <f aca="false">SUM(Model!AO203:AQ204)+SUM(Model!AO206:AQ210)</f>
        <v>-966038.4857736</v>
      </c>
      <c r="P17" s="13" t="n">
        <f aca="false">SUM(Model!AR203:AT204)+SUM(Model!AR206:AT210)</f>
        <v>-966038.4857736</v>
      </c>
      <c r="Q17" s="13" t="n">
        <f aca="false">SUM(Model!AU203:AW204)+SUM(Model!AU206:AW210)</f>
        <v>-1166038.4857736</v>
      </c>
      <c r="R17" s="13" t="n">
        <f aca="false">SUM(Model!AX203:AZ204)+SUM(Model!AX206:AZ210)</f>
        <v>-985359.255489072</v>
      </c>
      <c r="S17" s="13" t="n">
        <f aca="false">SUM(Model!BA203:BC204)+SUM(Model!BA206:BC210)</f>
        <v>-985359.255489072</v>
      </c>
      <c r="T17" s="13" t="n">
        <f aca="false">SUM(Model!BD203:BF204)+SUM(Model!BD206:BF210)</f>
        <v>-985359.255489072</v>
      </c>
      <c r="U17" s="13" t="n">
        <f aca="false">SUM(Model!BG203:BI204)+SUM(Model!BG206:BI210)</f>
        <v>-1185359.25548907</v>
      </c>
      <c r="V17" s="13" t="n">
        <f aca="false">SUM(Model!BJ203:BL204)+SUM(Model!BJ206:BL210)</f>
        <v>-1005066.44059885</v>
      </c>
      <c r="W17" s="13" t="n">
        <f aca="false">SUM(Model!BM203:BO204)+SUM(Model!BM206:BO210)</f>
        <v>-1005066.44059885</v>
      </c>
      <c r="X17" s="13" t="n">
        <f aca="false">SUM(Model!BP203:BR204)+SUM(Model!BP206:BR210)</f>
        <v>-1005066.44059885</v>
      </c>
      <c r="Y17" s="13" t="n">
        <f aca="false">SUM(Model!BS203:BU204)+SUM(Model!BS206:BU210)</f>
        <v>-1205066.44059885</v>
      </c>
      <c r="Z17" s="13" t="n">
        <f aca="false">SUM(Model!BV203:BX204)+SUM(Model!BV206:BX210)</f>
        <v>-1025167.76941083</v>
      </c>
      <c r="AA17" s="13" t="n">
        <f aca="false">SUM(Model!BY203:CA204)+SUM(Model!BY206:CA210)</f>
        <v>-1025167.76941083</v>
      </c>
      <c r="AB17" s="13" t="n">
        <f aca="false">SUM(Model!CB203:CD204)+SUM(Model!CB206:CD210)</f>
        <v>-1025167.76941083</v>
      </c>
      <c r="AC17" s="13" t="n">
        <f aca="false">SUM(Model!CE203:CG204)+SUM(Model!CE206:CG210)</f>
        <v>-1225167.76941083</v>
      </c>
      <c r="AD17" s="13" t="n">
        <f aca="false">SUM(Model!CH203:CJ204)+SUM(Model!CH206:CJ210)</f>
        <v>-1045671.12479905</v>
      </c>
      <c r="AE17" s="13" t="n">
        <f aca="false">SUM(Model!CK203:CM204)+SUM(Model!CK206:CM210)</f>
        <v>-1045671.12479905</v>
      </c>
      <c r="AF17" s="13" t="n">
        <f aca="false">SUM(Model!CN203:CP204)+SUM(Model!CN206:CP210)</f>
        <v>-1045671.12479905</v>
      </c>
      <c r="AG17" s="13" t="n">
        <f aca="false">SUM(Model!CQ203:CS204)+SUM(Model!CQ206:CS210)</f>
        <v>-1245671.12479905</v>
      </c>
      <c r="AH17" s="13" t="n">
        <f aca="false">SUM(Model!CT203:CV204)+SUM(Model!CT206:CV210)</f>
        <v>-944958.223692007</v>
      </c>
      <c r="AI17" s="13" t="n">
        <f aca="false">SUM(Model!CW203:CY204)+SUM(Model!CW206:CY210)</f>
        <v>-944958.223692007</v>
      </c>
      <c r="AJ17" s="13" t="n">
        <f aca="false">SUM(Model!CZ203:DB204)+SUM(Model!CZ206:DB210)</f>
        <v>-944958.223692007</v>
      </c>
      <c r="AK17" s="13" t="n">
        <f aca="false">SUM(Model!DC203:DE204)+SUM(Model!DC206:DE210)</f>
        <v>-1144958.22369201</v>
      </c>
    </row>
    <row r="18" customFormat="false" ht="15" hidden="false" customHeight="true" outlineLevel="0" collapsed="false">
      <c r="A18" s="22" t="s">
        <v>293</v>
      </c>
      <c r="B18" s="13" t="n">
        <f aca="false">SUM(Model!B211:D233)+SUM(Model!B235:D235)</f>
        <v>-235164.52</v>
      </c>
      <c r="C18" s="13" t="n">
        <f aca="false">SUM(Model!E211:G233)+SUM(Model!E235:G235)</f>
        <v>-340675</v>
      </c>
      <c r="D18" s="13" t="n">
        <f aca="false">SUM(Model!H211:J233)+SUM(Model!H235:J235)</f>
        <v>-245396.75</v>
      </c>
      <c r="E18" s="13" t="n">
        <f aca="false">SUM(Model!K211:M233)+SUM(Model!K235:M235)</f>
        <v>-212397.48</v>
      </c>
      <c r="F18" s="13" t="n">
        <f aca="false">SUM(Model!N211:P233)+SUM(Model!N235:P235)</f>
        <v>-261272.48</v>
      </c>
      <c r="G18" s="13" t="n">
        <f aca="false">SUM(Model!Q211:S233)+SUM(Model!Q235:S235)</f>
        <v>-248022.48</v>
      </c>
      <c r="H18" s="13" t="n">
        <f aca="false">SUM(Model!T211:V233)+SUM(Model!T235:V235)</f>
        <v>-204897.48</v>
      </c>
      <c r="I18" s="13" t="n">
        <f aca="false">SUM(Model!W211:Y233)+SUM(Model!W235:Y235)</f>
        <v>-204897.48</v>
      </c>
      <c r="J18" s="13" t="n">
        <f aca="false">SUM(Model!Z211:AB233)+SUM(Model!Z235:AB235)</f>
        <v>-256736.198830769</v>
      </c>
      <c r="K18" s="13" t="n">
        <f aca="false">SUM(Model!AC211:AE233)+SUM(Model!AC235:AE235)</f>
        <v>-234428.506523077</v>
      </c>
      <c r="L18" s="13" t="n">
        <f aca="false">SUM(Model!AF211:AH233)+SUM(Model!AF235:AH235)</f>
        <v>-212505.4296</v>
      </c>
      <c r="M18" s="13" t="n">
        <f aca="false">SUM(Model!AI211:AK233)+SUM(Model!AI235:AK235)</f>
        <v>-212505.4296</v>
      </c>
      <c r="N18" s="13" t="n">
        <f aca="false">SUM(Model!AL211:AN233)+SUM(Model!AL235:AN235)</f>
        <v>-215522.538192</v>
      </c>
      <c r="O18" s="13" t="n">
        <f aca="false">SUM(Model!AO211:AQ233)+SUM(Model!AO235:AQ235)</f>
        <v>-215522.538192</v>
      </c>
      <c r="P18" s="13" t="n">
        <f aca="false">SUM(Model!AR211:AT233)+SUM(Model!AR235:AT235)</f>
        <v>-215522.538192</v>
      </c>
      <c r="Q18" s="13" t="n">
        <f aca="false">SUM(Model!AU211:AW233)+SUM(Model!AU235:AW235)</f>
        <v>-215522.538192</v>
      </c>
      <c r="R18" s="13" t="n">
        <f aca="false">SUM(Model!AX211:AZ233)+SUM(Model!AX235:AZ235)</f>
        <v>-218599.98895584</v>
      </c>
      <c r="S18" s="13" t="n">
        <f aca="false">SUM(Model!BA211:BC233)+SUM(Model!BA235:BC235)</f>
        <v>-218599.98895584</v>
      </c>
      <c r="T18" s="13" t="n">
        <f aca="false">SUM(Model!BD211:BF233)+SUM(Model!BD235:BF235)</f>
        <v>-218599.98895584</v>
      </c>
      <c r="U18" s="13" t="n">
        <f aca="false">SUM(Model!BG211:BI233)+SUM(Model!BG235:BI235)</f>
        <v>-218599.98895584</v>
      </c>
      <c r="V18" s="13" t="n">
        <f aca="false">SUM(Model!BJ211:BL233)+SUM(Model!BJ235:BL235)</f>
        <v>-221738.988734957</v>
      </c>
      <c r="W18" s="13" t="n">
        <f aca="false">SUM(Model!BM211:BO233)+SUM(Model!BM235:BO235)</f>
        <v>-221738.988734957</v>
      </c>
      <c r="X18" s="13" t="n">
        <f aca="false">SUM(Model!BP211:BR233)+SUM(Model!BP235:BR235)</f>
        <v>-221738.988734957</v>
      </c>
      <c r="Y18" s="13" t="n">
        <f aca="false">SUM(Model!BS211:BU233)+SUM(Model!BS235:BU235)</f>
        <v>-221738.988734957</v>
      </c>
      <c r="Z18" s="13" t="n">
        <f aca="false">SUM(Model!BV211:BX233)+SUM(Model!BV235:BX235)</f>
        <v>-224940.768509656</v>
      </c>
      <c r="AA18" s="13" t="n">
        <f aca="false">SUM(Model!BY211:CA233)+SUM(Model!BY235:CA235)</f>
        <v>-224940.768509656</v>
      </c>
      <c r="AB18" s="13" t="n">
        <f aca="false">SUM(Model!CB211:CD233)+SUM(Model!CB235:CD235)</f>
        <v>-224940.768509656</v>
      </c>
      <c r="AC18" s="13" t="n">
        <f aca="false">SUM(Model!CE211:CG233)+SUM(Model!CE235:CG235)</f>
        <v>-224940.768509656</v>
      </c>
      <c r="AD18" s="13" t="n">
        <f aca="false">SUM(Model!CH211:CJ233)+SUM(Model!CH235:CJ235)</f>
        <v>-228206.583879849</v>
      </c>
      <c r="AE18" s="13" t="n">
        <f aca="false">SUM(Model!CK211:CM233)+SUM(Model!CK235:CM235)</f>
        <v>-228206.583879849</v>
      </c>
      <c r="AF18" s="13" t="n">
        <f aca="false">SUM(Model!CN211:CP233)+SUM(Model!CN235:CP235)</f>
        <v>-228206.583879849</v>
      </c>
      <c r="AG18" s="13" t="n">
        <f aca="false">SUM(Model!CQ211:CS233)+SUM(Model!CQ235:CS235)</f>
        <v>-228206.583879849</v>
      </c>
      <c r="AH18" s="13" t="n">
        <f aca="false">SUM(Model!CT211:CV233)+SUM(Model!CT235:CV235)</f>
        <v>-231537.715557446</v>
      </c>
      <c r="AI18" s="13" t="n">
        <f aca="false">SUM(Model!CW211:CY233)+SUM(Model!CW235:CY235)</f>
        <v>-231537.715557446</v>
      </c>
      <c r="AJ18" s="13" t="n">
        <f aca="false">SUM(Model!CZ211:DB233)+SUM(Model!CZ235:DB235)</f>
        <v>-231537.715557446</v>
      </c>
      <c r="AK18" s="13" t="n">
        <f aca="false">SUM(Model!DC211:DE233)+SUM(Model!DC235:DE235)</f>
        <v>-231537.715557446</v>
      </c>
    </row>
    <row r="19" customFormat="false" ht="15" hidden="false" customHeight="true" outlineLevel="0" collapsed="false">
      <c r="A19" s="22" t="s">
        <v>294</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295</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-1296582.889</v>
      </c>
      <c r="F21" s="88" t="n">
        <f aca="false">SUM(Model!N236:P236)</f>
        <v>-1257506.014</v>
      </c>
      <c r="G21" s="88" t="n">
        <f aca="false">SUM(Model!Q236:S236)</f>
        <v>-1309181.014</v>
      </c>
      <c r="H21" s="88" t="n">
        <f aca="false">SUM(Model!T236:V236)</f>
        <v>-1372718.514</v>
      </c>
      <c r="I21" s="88" t="n">
        <f aca="false">SUM(Model!W236:Y236)</f>
        <v>-1572718.514</v>
      </c>
      <c r="J21" s="88" t="n">
        <f aca="false">SUM(Model!Z236:AB236)</f>
        <v>-1338644.87851077</v>
      </c>
      <c r="K21" s="88" t="n">
        <f aca="false">SUM(Model!AC236:AE236)</f>
        <v>-1208487.48620308</v>
      </c>
      <c r="L21" s="88" t="n">
        <f aca="false">SUM(Model!AF236:AH236)</f>
        <v>-1159601.98428</v>
      </c>
      <c r="M21" s="88" t="n">
        <f aca="false">SUM(Model!AI236:AK236)</f>
        <v>-1359601.98428</v>
      </c>
      <c r="N21" s="88" t="n">
        <f aca="false">SUM(Model!AL236:AN236)</f>
        <v>-1181561.0239656</v>
      </c>
      <c r="O21" s="88" t="n">
        <f aca="false">SUM(Model!AO236:AQ236)</f>
        <v>-1181561.0239656</v>
      </c>
      <c r="P21" s="88" t="n">
        <f aca="false">SUM(Model!AR236:AT236)</f>
        <v>-1181561.0239656</v>
      </c>
      <c r="Q21" s="88" t="n">
        <f aca="false">SUM(Model!AU236:AW236)</f>
        <v>-1381561.0239656</v>
      </c>
      <c r="R21" s="88" t="n">
        <f aca="false">SUM(Model!AX236:AZ236)</f>
        <v>-1203959.24444491</v>
      </c>
      <c r="S21" s="88" t="n">
        <f aca="false">SUM(Model!BA236:BC236)</f>
        <v>-1203959.24444491</v>
      </c>
      <c r="T21" s="88" t="n">
        <f aca="false">SUM(Model!BD236:BF236)</f>
        <v>-1203959.24444491</v>
      </c>
      <c r="U21" s="88" t="n">
        <f aca="false">SUM(Model!BG236:BI236)</f>
        <v>-1403959.24444491</v>
      </c>
      <c r="V21" s="88" t="n">
        <f aca="false">SUM(Model!BJ236:BL236)</f>
        <v>-1226805.42933381</v>
      </c>
      <c r="W21" s="88" t="n">
        <f aca="false">SUM(Model!BM236:BO236)</f>
        <v>-1226805.42933381</v>
      </c>
      <c r="X21" s="88" t="n">
        <f aca="false">SUM(Model!BP236:BR236)</f>
        <v>-1226805.42933381</v>
      </c>
      <c r="Y21" s="88" t="n">
        <f aca="false">SUM(Model!BS236:BU236)</f>
        <v>-1426805.42933381</v>
      </c>
      <c r="Z21" s="88" t="n">
        <f aca="false">SUM(Model!BV236:BX236)</f>
        <v>-1250108.53792049</v>
      </c>
      <c r="AA21" s="88" t="n">
        <f aca="false">SUM(Model!BY236:CA236)</f>
        <v>-1250108.53792049</v>
      </c>
      <c r="AB21" s="88" t="n">
        <f aca="false">SUM(Model!CB236:CD236)</f>
        <v>-1250108.53792049</v>
      </c>
      <c r="AC21" s="88" t="n">
        <f aca="false">SUM(Model!CE236:CG236)</f>
        <v>-1450108.53792049</v>
      </c>
      <c r="AD21" s="88" t="n">
        <f aca="false">SUM(Model!CH236:CJ236)</f>
        <v>-1273877.7086789</v>
      </c>
      <c r="AE21" s="88" t="n">
        <f aca="false">SUM(Model!CK236:CM236)</f>
        <v>-1273877.7086789</v>
      </c>
      <c r="AF21" s="88" t="n">
        <f aca="false">SUM(Model!CN236:CP236)</f>
        <v>-1273877.7086789</v>
      </c>
      <c r="AG21" s="88" t="n">
        <f aca="false">SUM(Model!CQ236:CS236)</f>
        <v>-1473877.7086789</v>
      </c>
      <c r="AH21" s="88" t="n">
        <f aca="false">SUM(Model!CT236:CV236)</f>
        <v>-1176495.93924945</v>
      </c>
      <c r="AI21" s="88" t="n">
        <f aca="false">SUM(Model!CW236:CY236)</f>
        <v>-1176495.93924945</v>
      </c>
      <c r="AJ21" s="88" t="n">
        <f aca="false">SUM(Model!CZ236:DB236)</f>
        <v>-1176495.93924945</v>
      </c>
      <c r="AK21" s="88" t="n">
        <f aca="false">SUM(Model!DC236:DE236)</f>
        <v>-1376495.93924945</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-200463.356124998</v>
      </c>
      <c r="F22" s="91" t="n">
        <f aca="false">SUM(Model!N237:P237)</f>
        <v>789347.35911785</v>
      </c>
      <c r="G22" s="91" t="n">
        <f aca="false">SUM(Model!Q237:S237)</f>
        <v>402973.239302146</v>
      </c>
      <c r="H22" s="91" t="n">
        <f aca="false">SUM(Model!T237:V237)</f>
        <v>1609325.00523825</v>
      </c>
      <c r="I22" s="91" t="n">
        <f aca="false">SUM(Model!W237:Y237)</f>
        <v>1057701.99523825</v>
      </c>
      <c r="J22" s="91" t="n">
        <f aca="false">SUM(Model!Z237:AB237)</f>
        <v>1056698.60072748</v>
      </c>
      <c r="K22" s="91" t="n">
        <f aca="false">SUM(Model!AC237:AE237)</f>
        <v>567925.753035174</v>
      </c>
      <c r="L22" s="91" t="n">
        <f aca="false">SUM(Model!AF237:AH237)</f>
        <v>827160.5582396</v>
      </c>
      <c r="M22" s="91" t="n">
        <f aca="false">SUM(Model!AI237:AK237)</f>
        <v>3960.39535945142</v>
      </c>
      <c r="N22" s="91" t="n">
        <f aca="false">SUM(Model!AL237:AN237)</f>
        <v>-28841.2943261522</v>
      </c>
      <c r="O22" s="91" t="n">
        <f aca="false">SUM(Model!AO237:AQ237)</f>
        <v>-320594.536653536</v>
      </c>
      <c r="P22" s="91" t="n">
        <f aca="false">SUM(Model!AR237:AT237)</f>
        <v>-663838.41179395</v>
      </c>
      <c r="Q22" s="91" t="n">
        <f aca="false">SUM(Model!AU237:AW237)</f>
        <v>-763927.030497667</v>
      </c>
      <c r="R22" s="91" t="n">
        <f aca="false">SUM(Model!AX237:AZ237)</f>
        <v>-1203959.24444491</v>
      </c>
      <c r="S22" s="91" t="n">
        <f aca="false">SUM(Model!BA237:BC237)</f>
        <v>-1203959.24444491</v>
      </c>
      <c r="T22" s="91" t="n">
        <f aca="false">SUM(Model!BD237:BF237)</f>
        <v>-1203959.24444491</v>
      </c>
      <c r="U22" s="91" t="n">
        <f aca="false">SUM(Model!BG237:BI237)</f>
        <v>-1403959.24444491</v>
      </c>
      <c r="V22" s="91" t="n">
        <f aca="false">SUM(Model!BJ237:BL237)</f>
        <v>-1226805.42933381</v>
      </c>
      <c r="W22" s="91" t="n">
        <f aca="false">SUM(Model!BM237:BO237)</f>
        <v>-1226805.42933381</v>
      </c>
      <c r="X22" s="91" t="n">
        <f aca="false">SUM(Model!BP237:BR237)</f>
        <v>-1226805.42933381</v>
      </c>
      <c r="Y22" s="91" t="n">
        <f aca="false">SUM(Model!BS237:BU237)</f>
        <v>-1426805.42933381</v>
      </c>
      <c r="Z22" s="91" t="n">
        <f aca="false">SUM(Model!BV237:BX237)</f>
        <v>-1250108.53792049</v>
      </c>
      <c r="AA22" s="91" t="n">
        <f aca="false">SUM(Model!BY237:CA237)</f>
        <v>-1250108.53792049</v>
      </c>
      <c r="AB22" s="91" t="n">
        <f aca="false">SUM(Model!CB237:CD237)</f>
        <v>-1250108.53792049</v>
      </c>
      <c r="AC22" s="91" t="n">
        <f aca="false">SUM(Model!CE237:CG237)</f>
        <v>-1450108.53792049</v>
      </c>
      <c r="AD22" s="91" t="n">
        <f aca="false">SUM(Model!CH237:CJ237)</f>
        <v>-1273877.7086789</v>
      </c>
      <c r="AE22" s="91" t="n">
        <f aca="false">SUM(Model!CK237:CM237)</f>
        <v>-1273877.7086789</v>
      </c>
      <c r="AF22" s="91" t="n">
        <f aca="false">SUM(Model!CN237:CP237)</f>
        <v>-1273877.7086789</v>
      </c>
      <c r="AG22" s="91" t="n">
        <f aca="false">SUM(Model!CQ237:CS237)</f>
        <v>-1473877.7086789</v>
      </c>
      <c r="AH22" s="91" t="n">
        <f aca="false">SUM(Model!CT237:CV237)</f>
        <v>-1176495.93924945</v>
      </c>
      <c r="AI22" s="91" t="n">
        <f aca="false">SUM(Model!CW237:CY237)</f>
        <v>-1176495.93924945</v>
      </c>
      <c r="AJ22" s="91" t="n">
        <f aca="false">SUM(Model!CZ237:DB237)</f>
        <v>-1176495.93924945</v>
      </c>
      <c r="AK22" s="91" t="n">
        <f aca="false">SUM(Model!DC237:DE237)</f>
        <v>-1376495.93924945</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-0.0131103872833162</v>
      </c>
      <c r="F23" s="89" t="n">
        <f aca="false">IFERROR(F22/F7,0)</f>
        <v>0.0447486464685512</v>
      </c>
      <c r="G23" s="89" t="n">
        <f aca="false">IFERROR(G22/G7,0)</f>
        <v>0.0202175970993728</v>
      </c>
      <c r="H23" s="89" t="n">
        <f aca="false">IFERROR(H22/H7,0)</f>
        <v>0.0621755200633772</v>
      </c>
      <c r="I23" s="89" t="n">
        <f aca="false">IFERROR(I22/I7,0)</f>
        <v>0.0439803932112859</v>
      </c>
      <c r="J23" s="89" t="n">
        <f aca="false">IFERROR(J22/J7,0)</f>
        <v>0.0464528804594683</v>
      </c>
      <c r="K23" s="89" t="n">
        <f aca="false">IFERROR(K22/K7,0)</f>
        <v>0.0336065385010423</v>
      </c>
      <c r="L23" s="89" t="n">
        <f aca="false">IFERROR(L22/L7,0)</f>
        <v>0.0483660370801454</v>
      </c>
      <c r="M23" s="89" t="n">
        <f aca="false">IFERROR(M22/M7,0)</f>
        <v>0.000293906666250242</v>
      </c>
      <c r="N23" s="89" t="n">
        <f aca="false">IFERROR(N22/N7,0)</f>
        <v>-0.00282692190378381</v>
      </c>
      <c r="O23" s="89" t="n">
        <f aca="false">IFERROR(O22/O7,0)</f>
        <v>-0.0600104852938812</v>
      </c>
      <c r="P23" s="89" t="n">
        <f aca="false">IFERROR(P22/P7,0)</f>
        <v>-0.205406921585457</v>
      </c>
      <c r="Q23" s="89" t="n">
        <f aca="false">IFERROR(Q22/Q7,0)</f>
        <v>-0.487481177897497</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107493.75</v>
      </c>
      <c r="F25" s="13" t="n">
        <f aca="false">Model!N261+Model!O261+Model!P261</f>
        <v>113908.223684211</v>
      </c>
      <c r="G25" s="13" t="n">
        <f aca="false">Model!Q261+Model!R261+Model!S261</f>
        <v>117066.118421053</v>
      </c>
      <c r="H25" s="13" t="n">
        <f aca="false">Model!T261+Model!U261+Model!V261</f>
        <v>45347.3684210526</v>
      </c>
      <c r="I25" s="13" t="n">
        <f aca="false">Model!W261+Model!X261+Model!Y261</f>
        <v>102722.368421053</v>
      </c>
      <c r="J25" s="13" t="n">
        <f aca="false">Model!Z261+Model!AA261+Model!AB261</f>
        <v>102722.368421053</v>
      </c>
      <c r="K25" s="13" t="n">
        <f aca="false">Model!AC261+Model!AD261+Model!AE261</f>
        <v>102722.368421053</v>
      </c>
      <c r="L25" s="13" t="n">
        <f aca="false">Model!AF261+Model!AG261+Model!AH261</f>
        <v>35873.6842105263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142402</v>
      </c>
      <c r="AB25" s="13" t="n">
        <f aca="false">Model!CB261+Model!CC261+Model!CD261</f>
        <v>157862</v>
      </c>
      <c r="AC25" s="13" t="n">
        <f aca="false">Model!CE261+Model!CF261+Model!CG261</f>
        <v>157861</v>
      </c>
      <c r="AD25" s="13" t="n">
        <f aca="false">Model!CH261+Model!CI261+Model!CJ261</f>
        <v>157861</v>
      </c>
      <c r="AE25" s="13" t="n">
        <f aca="false">Model!CK261+Model!CL261+Model!CM261</f>
        <v>473583</v>
      </c>
      <c r="AF25" s="13" t="n">
        <f aca="false">Model!CN261+Model!CO261+Model!CP261</f>
        <v>473583</v>
      </c>
      <c r="AG25" s="13" t="n">
        <f aca="false">Model!CQ261+Model!CR261+Model!CS261</f>
        <v>473583</v>
      </c>
      <c r="AH25" s="13" t="n">
        <f aca="false">Model!CT261+Model!CU261+Model!CV261</f>
        <v>473583</v>
      </c>
      <c r="AI25" s="13" t="n">
        <f aca="false">Model!CW261+Model!CX261+Model!CY261</f>
        <v>473583</v>
      </c>
      <c r="AJ25" s="13" t="n">
        <f aca="false">Model!CZ261+Model!DA261+Model!DB261</f>
        <v>473583</v>
      </c>
      <c r="AK25" s="13" t="n">
        <f aca="false">Model!DC261+Model!DD261+Model!DE261</f>
        <v>473583</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-592637.4</v>
      </c>
      <c r="F26" s="92" t="n">
        <f aca="false">Model!N292+Model!O292+Model!P292</f>
        <v>-595371.985</v>
      </c>
      <c r="G26" s="92" t="n">
        <f aca="false">Model!Q292+Model!R292+Model!S292</f>
        <v>-590121.985</v>
      </c>
      <c r="H26" s="92" t="n">
        <f aca="false">Model!T292+Model!U292+Model!V292</f>
        <v>-588371.985</v>
      </c>
      <c r="I26" s="92" t="n">
        <f aca="false">Model!W292+Model!X292+Model!Y292</f>
        <v>-588371.985</v>
      </c>
      <c r="J26" s="92" t="n">
        <f aca="false">Model!Z292+Model!AA292+Model!AB292</f>
        <v>-599111.1447</v>
      </c>
      <c r="K26" s="92" t="n">
        <f aca="false">Model!AC292+Model!AD292+Model!AE292</f>
        <v>-599111.1447</v>
      </c>
      <c r="L26" s="92" t="n">
        <f aca="false">Model!AF292+Model!AG292+Model!AH292</f>
        <v>-599111.1447</v>
      </c>
      <c r="M26" s="92" t="n">
        <f aca="false">Model!AI292+Model!AJ292+Model!AK292</f>
        <v>-599111.1447</v>
      </c>
      <c r="N26" s="92" t="n">
        <f aca="false">Model!AL292+Model!AM292+Model!AN292</f>
        <v>-610065.087594</v>
      </c>
      <c r="O26" s="92" t="n">
        <f aca="false">Model!AO292+Model!AP292+Model!AQ292</f>
        <v>-610065.087594</v>
      </c>
      <c r="P26" s="92" t="n">
        <f aca="false">Model!AR292+Model!AS292+Model!AT292</f>
        <v>-691748.087594</v>
      </c>
      <c r="Q26" s="92" t="n">
        <f aca="false">Model!AU292+Model!AV292+Model!AW292</f>
        <v>-691747.087594</v>
      </c>
      <c r="R26" s="92" t="n">
        <f aca="false">Model!AX292+Model!AY292+Model!AZ292</f>
        <v>-702920.10934588</v>
      </c>
      <c r="S26" s="92" t="n">
        <f aca="false">Model!BA292+Model!BB292+Model!BC292</f>
        <v>-1554759.10934588</v>
      </c>
      <c r="T26" s="92" t="n">
        <f aca="false">Model!BD292+Model!BE292+Model!BF292</f>
        <v>-752116.10934588</v>
      </c>
      <c r="U26" s="92" t="n">
        <f aca="false">Model!BG292+Model!BH292+Model!BI292</f>
        <v>-752114.10934588</v>
      </c>
      <c r="V26" s="92" t="n">
        <f aca="false">Model!BJ292+Model!BK292+Model!BL292</f>
        <v>-763510.591532798</v>
      </c>
      <c r="W26" s="92" t="n">
        <f aca="false">Model!BM292+Model!BN292+Model!BO292</f>
        <v>-763510.591532798</v>
      </c>
      <c r="X26" s="92" t="n">
        <f aca="false">Model!BP292+Model!BQ292+Model!BR292</f>
        <v>-721790.241532798</v>
      </c>
      <c r="Y26" s="92" t="n">
        <f aca="false">Model!BS292+Model!BT292+Model!BU292</f>
        <v>-707274.591532798</v>
      </c>
      <c r="Z26" s="92" t="n">
        <f aca="false">Model!BV292+Model!BW292+Model!BX292</f>
        <v>-718899.003363454</v>
      </c>
      <c r="AA26" s="92" t="n">
        <f aca="false">Model!BY292+Model!BZ292+Model!CA292</f>
        <v>-718899.003363454</v>
      </c>
      <c r="AB26" s="92" t="n">
        <f aca="false">Model!CB292+Model!CC292+Model!CD292</f>
        <v>-725622.003363454</v>
      </c>
      <c r="AC26" s="92" t="n">
        <f aca="false">Model!CE292+Model!CF292+Model!CG292</f>
        <v>-725621.003363454</v>
      </c>
      <c r="AD26" s="92" t="n">
        <f aca="false">Model!CH292+Model!CI292+Model!CJ292</f>
        <v>-730869.876824244</v>
      </c>
      <c r="AE26" s="92" t="n">
        <f aca="false">Model!CK292+Model!CL292+Model!CM292</f>
        <v>-656115.903430723</v>
      </c>
      <c r="AF26" s="92" t="n">
        <f aca="false">Model!CN292+Model!CO292+Model!CP292</f>
        <v>-656115.903430723</v>
      </c>
      <c r="AG26" s="92" t="n">
        <f aca="false">Model!CQ292+Model!CR292+Model!CS292</f>
        <v>-656115.903430723</v>
      </c>
      <c r="AH26" s="92" t="n">
        <f aca="false">Model!CT292+Model!CU292+Model!CV292</f>
        <v>-650272.496870451</v>
      </c>
      <c r="AI26" s="92" t="n">
        <f aca="false">Model!CW292+Model!CX292+Model!CY292</f>
        <v>-650272.496870451</v>
      </c>
      <c r="AJ26" s="92" t="n">
        <f aca="false">Model!CZ292+Model!DA292+Model!DB292</f>
        <v>-650272.496870451</v>
      </c>
      <c r="AK26" s="92" t="n">
        <f aca="false">Model!DC292+Model!DD292+Model!DE292</f>
        <v>-650272.496870451</v>
      </c>
    </row>
    <row r="27" customFormat="false" ht="15" hidden="false" customHeight="true" outlineLevel="0" collapsed="false">
      <c r="A27" s="36" t="s">
        <v>140</v>
      </c>
      <c r="B27" s="37" t="n">
        <f aca="false">Model!B293+Model!C293+Model!D293</f>
        <v>-544010.08</v>
      </c>
      <c r="C27" s="37" t="n">
        <f aca="false">Model!E293+Model!F293+Model!G293</f>
        <v>-192531.29</v>
      </c>
      <c r="D27" s="37" t="n">
        <f aca="false">Model!H293+Model!I293+Model!J293</f>
        <v>-298870.32</v>
      </c>
      <c r="E27" s="37" t="n">
        <f aca="false">Model!K293+Model!L293+Model!M293</f>
        <v>-485143.65</v>
      </c>
      <c r="F27" s="37" t="n">
        <f aca="false">Model!N293+Model!O293+Model!P293</f>
        <v>-481463.76131579</v>
      </c>
      <c r="G27" s="37" t="n">
        <f aca="false">Model!Q293+Model!R293+Model!S293</f>
        <v>-473055.866578947</v>
      </c>
      <c r="H27" s="37" t="n">
        <f aca="false">Model!T293+Model!U293+Model!V293</f>
        <v>-543024.616578947</v>
      </c>
      <c r="I27" s="37" t="n">
        <f aca="false">Model!W293+Model!X293+Model!Y293</f>
        <v>-485649.616578947</v>
      </c>
      <c r="J27" s="37" t="n">
        <f aca="false">Model!Z293+Model!AA293+Model!AB293</f>
        <v>-496388.776278947</v>
      </c>
      <c r="K27" s="37" t="n">
        <f aca="false">Model!AC293+Model!AD293+Model!AE293</f>
        <v>-496388.776278947</v>
      </c>
      <c r="L27" s="37" t="n">
        <f aca="false">Model!AF293+Model!AG293+Model!AH293</f>
        <v>-563237.460489474</v>
      </c>
      <c r="M27" s="37" t="n">
        <f aca="false">Model!AI293+Model!AJ293+Model!AK293</f>
        <v>-599111.1447</v>
      </c>
      <c r="N27" s="37" t="n">
        <f aca="false">Model!AL293+Model!AM293+Model!AN293</f>
        <v>-610065.087594</v>
      </c>
      <c r="O27" s="37" t="n">
        <f aca="false">Model!AO293+Model!AP293+Model!AQ293</f>
        <v>-610065.087594</v>
      </c>
      <c r="P27" s="37" t="n">
        <f aca="false">Model!AR293+Model!AS293+Model!AT293</f>
        <v>-610065.087594</v>
      </c>
      <c r="Q27" s="37" t="n">
        <f aca="false">Model!AU293+Model!AV293+Model!AW293</f>
        <v>-610065.087594</v>
      </c>
      <c r="R27" s="37" t="n">
        <f aca="false">Model!AX293+Model!AY293+Model!AZ293</f>
        <v>-621238.10934588</v>
      </c>
      <c r="S27" s="37" t="n">
        <f aca="false">Model!BA293+Model!BB293+Model!BC293</f>
        <v>-621238.10934588</v>
      </c>
      <c r="T27" s="37" t="n">
        <f aca="false">Model!BD293+Model!BE293+Model!BF293</f>
        <v>-621238.10934588</v>
      </c>
      <c r="U27" s="37" t="n">
        <f aca="false">Model!BG293+Model!BH293+Model!BI293</f>
        <v>-621238.10934588</v>
      </c>
      <c r="V27" s="37" t="n">
        <f aca="false">Model!BJ293+Model!BK293+Model!BL293</f>
        <v>-632634.591532798</v>
      </c>
      <c r="W27" s="37" t="n">
        <f aca="false">Model!BM293+Model!BN293+Model!BO293</f>
        <v>-632634.591532798</v>
      </c>
      <c r="X27" s="37" t="n">
        <f aca="false">Model!BP293+Model!BQ293+Model!BR293</f>
        <v>-579384.241532798</v>
      </c>
      <c r="Y27" s="37" t="n">
        <f aca="false">Model!BS293+Model!BT293+Model!BU293</f>
        <v>-564872.591532798</v>
      </c>
      <c r="Z27" s="37" t="n">
        <f aca="false">Model!BV293+Model!BW293+Model!BX293</f>
        <v>-576497.003363454</v>
      </c>
      <c r="AA27" s="37" t="n">
        <f aca="false">Model!BY293+Model!BZ293+Model!CA293</f>
        <v>-576497.003363454</v>
      </c>
      <c r="AB27" s="37" t="n">
        <f aca="false">Model!CB293+Model!CC293+Model!CD293</f>
        <v>-567760.003363454</v>
      </c>
      <c r="AC27" s="37" t="n">
        <f aca="false">Model!CE293+Model!CF293+Model!CG293</f>
        <v>-567760.003363454</v>
      </c>
      <c r="AD27" s="37" t="n">
        <f aca="false">Model!CH293+Model!CI293+Model!CJ293</f>
        <v>-573008.876824244</v>
      </c>
      <c r="AE27" s="37" t="n">
        <f aca="false">Model!CK293+Model!CL293+Model!CM293</f>
        <v>-182532.903430723</v>
      </c>
      <c r="AF27" s="37" t="n">
        <f aca="false">Model!CN293+Model!CO293+Model!CP293</f>
        <v>-182532.903430723</v>
      </c>
      <c r="AG27" s="37" t="n">
        <f aca="false">Model!CQ293+Model!CR293+Model!CS293</f>
        <v>-182532.903430723</v>
      </c>
      <c r="AH27" s="37" t="n">
        <f aca="false">Model!CT293+Model!CU293+Model!CV293</f>
        <v>-176689.496870451</v>
      </c>
      <c r="AI27" s="37" t="n">
        <f aca="false">Model!CW293+Model!CX293+Model!CY293</f>
        <v>-176689.496870451</v>
      </c>
      <c r="AJ27" s="37" t="n">
        <f aca="false">Model!CZ293+Model!DA293+Model!DB293</f>
        <v>-176689.496870451</v>
      </c>
      <c r="AK27" s="37" t="n">
        <f aca="false">Model!DC293+Model!DD293+Model!DE293</f>
        <v>-176689.496870451</v>
      </c>
    </row>
    <row r="28" customFormat="false" ht="15" hidden="false" customHeight="true" outlineLevel="0" collapsed="false">
      <c r="A28" s="22" t="s">
        <v>296</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297</v>
      </c>
      <c r="B30" s="37" t="n">
        <f aca="false">Model!B308+Model!C308+Model!D308</f>
        <v>-654917.25</v>
      </c>
      <c r="C30" s="37" t="n">
        <f aca="false">Model!E308+Model!F308+Model!G308</f>
        <v>526914.490000001</v>
      </c>
      <c r="D30" s="37" t="n">
        <f aca="false">Model!H308+Model!I308+Model!J308</f>
        <v>1284975.214875</v>
      </c>
      <c r="E30" s="37" t="n">
        <f aca="false">Model!K308+Model!L308+Model!M308</f>
        <v>-682282.817474998</v>
      </c>
      <c r="F30" s="37" t="n">
        <f aca="false">Model!N308+Model!O308+Model!P308</f>
        <v>308798.980835061</v>
      </c>
      <c r="G30" s="37" t="n">
        <f aca="false">Model!Q308+Model!R308+Model!S308</f>
        <v>-70082.6272768016</v>
      </c>
      <c r="H30" s="37" t="n">
        <f aca="false">Model!T308+Model!U308+Model!V308</f>
        <v>1066300.3886593</v>
      </c>
      <c r="I30" s="37" t="n">
        <f aca="false">Model!W308+Model!X308+Model!Y308</f>
        <v>572052.378659302</v>
      </c>
      <c r="J30" s="37" t="n">
        <f aca="false">Model!Z308+Model!AA308+Model!AB308</f>
        <v>560309.824448531</v>
      </c>
      <c r="K30" s="37" t="n">
        <f aca="false">Model!AC308+Model!AD308+Model!AE308</f>
        <v>71536.9767562267</v>
      </c>
      <c r="L30" s="37" t="n">
        <f aca="false">Model!AF308+Model!AG308+Model!AH308</f>
        <v>263923.097750127</v>
      </c>
      <c r="M30" s="37" t="n">
        <f aca="false">Model!AI308+Model!AJ308+Model!AK308</f>
        <v>-595150.749340549</v>
      </c>
      <c r="N30" s="37" t="n">
        <f aca="false">Model!AL308+Model!AM308+Model!AN308</f>
        <v>-638906.381920152</v>
      </c>
      <c r="O30" s="37" t="n">
        <f aca="false">Model!AO308+Model!AP308+Model!AQ308</f>
        <v>-930659.624247536</v>
      </c>
      <c r="P30" s="37" t="n">
        <f aca="false">Model!AR308+Model!AS308+Model!AT308</f>
        <v>-1273903.49938795</v>
      </c>
      <c r="Q30" s="37" t="n">
        <f aca="false">Model!AU308+Model!AV308+Model!AW308</f>
        <v>-1373992.11809167</v>
      </c>
      <c r="R30" s="37" t="n">
        <f aca="false">Model!AX308+Model!AY308+Model!AZ308</f>
        <v>-1825197.35379079</v>
      </c>
      <c r="S30" s="37" t="n">
        <f aca="false">Model!BA308+Model!BB308+Model!BC308</f>
        <v>-1825197.35379079</v>
      </c>
      <c r="T30" s="37" t="n">
        <f aca="false">Model!BD308+Model!BE308+Model!BF308</f>
        <v>-1825197.35379079</v>
      </c>
      <c r="U30" s="37" t="n">
        <f aca="false">Model!BG308+Model!BH308+Model!BI308</f>
        <v>-2025197.35379079</v>
      </c>
      <c r="V30" s="37" t="n">
        <f aca="false">Model!BJ308+Model!BK308+Model!BL308</f>
        <v>-1859440.02086661</v>
      </c>
      <c r="W30" s="37" t="n">
        <f aca="false">Model!BM308+Model!BN308+Model!BO308</f>
        <v>-1859440.02086661</v>
      </c>
      <c r="X30" s="37" t="n">
        <f aca="false">Model!BP308+Model!BQ308+Model!BR308</f>
        <v>-1806189.67086661</v>
      </c>
      <c r="Y30" s="37" t="n">
        <f aca="false">Model!BS308+Model!BT308+Model!BU308</f>
        <v>-1991678.02086661</v>
      </c>
      <c r="Z30" s="37" t="n">
        <f aca="false">Model!BV308+Model!BW308+Model!BX308</f>
        <v>-1826605.54128394</v>
      </c>
      <c r="AA30" s="37" t="n">
        <f aca="false">Model!BY308+Model!BZ308+Model!CA308</f>
        <v>-1826605.54128394</v>
      </c>
      <c r="AB30" s="37" t="n">
        <f aca="false">Model!CB308+Model!CC308+Model!CD308</f>
        <v>-1817868.54128394</v>
      </c>
      <c r="AC30" s="37" t="n">
        <f aca="false">Model!CE308+Model!CF308+Model!CG308</f>
        <v>-2017868.54128394</v>
      </c>
      <c r="AD30" s="37" t="n">
        <f aca="false">Model!CH308+Model!CI308+Model!CJ308</f>
        <v>-1846886.58550314</v>
      </c>
      <c r="AE30" s="37" t="n">
        <f aca="false">Model!CK308+Model!CL308+Model!CM308</f>
        <v>-1456410.61210962</v>
      </c>
      <c r="AF30" s="37" t="n">
        <f aca="false">Model!CN308+Model!CO308+Model!CP308</f>
        <v>-1456410.61210962</v>
      </c>
      <c r="AG30" s="37" t="n">
        <f aca="false">Model!CQ308+Model!CR308+Model!CS308</f>
        <v>-1656410.61210962</v>
      </c>
      <c r="AH30" s="37" t="n">
        <f aca="false">Model!CT308+Model!CU308+Model!CV308</f>
        <v>-1353185.4361199</v>
      </c>
      <c r="AI30" s="37" t="n">
        <f aca="false">Model!CW308+Model!CX308+Model!CY308</f>
        <v>-1353185.4361199</v>
      </c>
      <c r="AJ30" s="37" t="n">
        <f aca="false">Model!CZ308+Model!DA308+Model!DB308</f>
        <v>-1353185.4361199</v>
      </c>
      <c r="AK30" s="37" t="n">
        <f aca="false">Model!DC308+Model!DD308+Model!DE308</f>
        <v>-1553185.4361199</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298</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299</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300</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301</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302</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303</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-0</v>
      </c>
      <c r="AB37" s="93" t="n">
        <f aca="false">Model!CB291+Model!CC291+Model!CD291</f>
        <v>-0</v>
      </c>
      <c r="AC37" s="93" t="n">
        <f aca="false">Model!CE291+Model!CF291+Model!CG291</f>
        <v>-0</v>
      </c>
      <c r="AD37" s="93" t="n">
        <f aca="false">Model!CH291+Model!CI291+Model!CJ291</f>
        <v>-0</v>
      </c>
      <c r="AE37" s="93" t="n">
        <f aca="false">Model!CK291+Model!CL291+Model!CM291</f>
        <v>-0</v>
      </c>
      <c r="AF37" s="93" t="n">
        <f aca="false">Model!CN291+Model!CO291+Model!CP291</f>
        <v>-0</v>
      </c>
      <c r="AG37" s="93" t="n">
        <f aca="false">Model!CQ291+Model!CR291+Model!CS291</f>
        <v>-0</v>
      </c>
      <c r="AH37" s="93" t="n">
        <f aca="false">Model!CT291+Model!CU291+Model!CV291</f>
        <v>-0</v>
      </c>
      <c r="AI37" s="93" t="n">
        <f aca="false">Model!CW291+Model!CX291+Model!CY291</f>
        <v>-0</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304</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305</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306</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307</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0</v>
      </c>
      <c r="O42" s="93" t="n">
        <f aca="false">Model!AO322+Model!AP322+Model!AQ322</f>
        <v>0</v>
      </c>
      <c r="P42" s="93" t="n">
        <f aca="false">Model!AR322+Model!AS322+Model!AT322</f>
        <v>0</v>
      </c>
      <c r="Q42" s="93" t="n">
        <f aca="false">Model!AU322+Model!AV322+Model!AW322</f>
        <v>0</v>
      </c>
      <c r="R42" s="93" t="n">
        <f aca="false">Model!AX322+Model!AY322+Model!AZ322</f>
        <v>0</v>
      </c>
      <c r="S42" s="93" t="n">
        <f aca="false">Model!BA322+Model!BB322+Model!BC322</f>
        <v>0</v>
      </c>
      <c r="T42" s="93" t="n">
        <f aca="false">Model!BD322+Model!BE322+Model!BF322</f>
        <v>0</v>
      </c>
      <c r="U42" s="93" t="n">
        <f aca="false">Model!BG322+Model!BH322+Model!BI322</f>
        <v>0</v>
      </c>
      <c r="V42" s="93" t="n">
        <f aca="false">Model!BJ322+Model!BK322+Model!BL322</f>
        <v>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308</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750000</v>
      </c>
      <c r="O43" s="93" t="n">
        <f aca="false">Model!AQ323</f>
        <v>750000</v>
      </c>
      <c r="P43" s="93" t="n">
        <f aca="false">Model!AT323</f>
        <v>750000</v>
      </c>
      <c r="Q43" s="93" t="n">
        <f aca="false">Model!AW323</f>
        <v>750000</v>
      </c>
      <c r="R43" s="93" t="n">
        <f aca="false">Model!AZ323</f>
        <v>750000</v>
      </c>
      <c r="S43" s="93" t="n">
        <f aca="false">Model!BC323</f>
        <v>750000</v>
      </c>
      <c r="T43" s="93" t="n">
        <f aca="false">Model!BF323</f>
        <v>750000</v>
      </c>
      <c r="U43" s="93" t="n">
        <f aca="false">Model!BI323</f>
        <v>750000</v>
      </c>
      <c r="V43" s="93" t="n">
        <f aca="false">Model!BL323</f>
        <v>750000</v>
      </c>
      <c r="W43" s="93" t="n">
        <f aca="false">Model!BO323</f>
        <v>750000</v>
      </c>
      <c r="X43" s="93" t="n">
        <f aca="false">Model!BR323</f>
        <v>750000</v>
      </c>
      <c r="Y43" s="93" t="n">
        <f aca="false">Model!BU323</f>
        <v>750000</v>
      </c>
      <c r="Z43" s="93" t="n">
        <f aca="false">Model!BX323</f>
        <v>750000</v>
      </c>
      <c r="AA43" s="93" t="n">
        <f aca="false">Model!CA323</f>
        <v>750000</v>
      </c>
      <c r="AB43" s="93" t="n">
        <f aca="false">Model!CD323</f>
        <v>750000</v>
      </c>
      <c r="AC43" s="93" t="n">
        <f aca="false">Model!CG323</f>
        <v>750000</v>
      </c>
      <c r="AD43" s="93" t="n">
        <f aca="false">Model!CJ323</f>
        <v>750000</v>
      </c>
      <c r="AE43" s="93" t="n">
        <f aca="false">Model!CM323</f>
        <v>750000</v>
      </c>
      <c r="AF43" s="93" t="n">
        <f aca="false">Model!CP323</f>
        <v>750000</v>
      </c>
      <c r="AG43" s="93" t="n">
        <f aca="false">Model!CS323</f>
        <v>750000</v>
      </c>
      <c r="AH43" s="93" t="n">
        <f aca="false">Model!CV323</f>
        <v>750000</v>
      </c>
      <c r="AI43" s="93" t="n">
        <f aca="false">Model!CY323</f>
        <v>750000</v>
      </c>
      <c r="AJ43" s="93" t="n">
        <f aca="false">Model!DB323</f>
        <v>750000</v>
      </c>
      <c r="AK43" s="93" t="n">
        <f aca="false">Model!DE323</f>
        <v>750000</v>
      </c>
    </row>
    <row r="44" customFormat="false" ht="15" hidden="false" customHeight="true" outlineLevel="0" collapsed="false">
      <c r="A44" s="22" t="s">
        <v>309</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310</v>
      </c>
      <c r="B45" s="93" t="n">
        <f aca="false">Model!D330+Model!D335+Model!D340+Model!D345</f>
        <v>0</v>
      </c>
      <c r="C45" s="93" t="n">
        <f aca="false">Model!G330+Model!G335+Model!G340+Model!G345</f>
        <v>1280275</v>
      </c>
      <c r="D45" s="93" t="n">
        <f aca="false">Model!J330+Model!J335+Model!J340+Model!J345</f>
        <v>1483910.3125</v>
      </c>
      <c r="E45" s="93" t="n">
        <f aca="false">Model!M330+Model!M335+Model!M340+Model!M345</f>
        <v>1695181.94921875</v>
      </c>
      <c r="F45" s="93" t="n">
        <f aca="false">Model!P330+Model!P335+Model!P340+Model!P345</f>
        <v>1914376.27231445</v>
      </c>
      <c r="G45" s="93" t="n">
        <f aca="false">Model!S330+Model!S335+Model!S340+Model!S345</f>
        <v>585540.382526245</v>
      </c>
      <c r="H45" s="93" t="n">
        <f aca="false">Model!V330+Model!V335+Model!V340+Model!V345</f>
        <v>607498.146870979</v>
      </c>
      <c r="I45" s="93" t="n">
        <f aca="false">Model!Y330+Model!Y335+Model!Y340+Model!Y345</f>
        <v>630279.327378641</v>
      </c>
      <c r="J45" s="93" t="n">
        <f aca="false">Model!AB330+Model!AB335+Model!AB340+Model!AB345</f>
        <v>653914.80215534</v>
      </c>
      <c r="K45" s="93" t="n">
        <f aca="false">Model!AE330+Model!AE335+Model!AE340+Model!AE345</f>
        <v>678436.607236165</v>
      </c>
      <c r="L45" s="93" t="n">
        <f aca="false">Model!AH330+Model!AH335+Model!AH340+Model!AH345</f>
        <v>703877.980007521</v>
      </c>
      <c r="M45" s="93" t="n">
        <f aca="false">Model!AK330+Model!AK335+Model!AK340+Model!AK345</f>
        <v>730273.404257803</v>
      </c>
      <c r="N45" s="93" t="n">
        <f aca="false">Model!AN330+Model!AN335+Model!AN340+Model!AN345</f>
        <v>757658.656917471</v>
      </c>
      <c r="O45" s="93" t="n">
        <f aca="false">Model!AQ330+Model!AQ335+Model!AQ340+Model!AQ345</f>
        <v>786070.856551876</v>
      </c>
      <c r="P45" s="93" t="n">
        <f aca="false">Model!AT330+Model!AT335+Model!AT340+Model!AT345</f>
        <v>815548.513672571</v>
      </c>
      <c r="Q45" s="93" t="n">
        <f aca="false">Model!AW330+Model!AW335+Model!AW340+Model!AW345</f>
        <v>846131.582935293</v>
      </c>
      <c r="R45" s="93" t="n">
        <f aca="false">Model!AZ330+Model!AZ335+Model!AZ340+Model!AZ345</f>
        <v>877861.517295366</v>
      </c>
      <c r="S45" s="93" t="n">
        <f aca="false">Model!BC330+Model!BC335+Model!BC340+Model!BC345</f>
        <v>661610.024193943</v>
      </c>
      <c r="T45" s="93" t="n">
        <f aca="false">Model!BF330+Model!BF335+Model!BF340+Model!BF345</f>
        <v>614720.400101215</v>
      </c>
      <c r="U45" s="93" t="n">
        <f aca="false">Model!BI330+Model!BI335+Model!BI340+Model!BI345</f>
        <v>566072.415105011</v>
      </c>
      <c r="V45" s="93" t="n">
        <f aca="false">Model!BL330+Model!BL335+Model!BL340+Model!BL345</f>
        <v>515600.130671449</v>
      </c>
      <c r="W45" s="93" t="n">
        <f aca="false">Model!BO330+Model!BO335+Model!BO340+Model!BO345</f>
        <v>463235.135571628</v>
      </c>
      <c r="X45" s="93" t="n">
        <f aca="false">Model!BR330+Model!BR335+Model!BR340+Model!BR345</f>
        <v>405963.453155564</v>
      </c>
      <c r="Y45" s="93" t="n">
        <f aca="false">Model!BU330+Model!BU335+Model!BU340+Model!BU345</f>
        <v>346547.082648898</v>
      </c>
      <c r="Z45" s="93" t="n">
        <f aca="false">Model!BX330+Model!BX335+Model!BX340+Model!BX345</f>
        <v>284902.598248232</v>
      </c>
      <c r="AA45" s="93" t="n">
        <f aca="false">Model!CA330+Model!CA335+Model!CA340+Model!CA345</f>
        <v>220946.44568254</v>
      </c>
      <c r="AB45" s="93" t="n">
        <f aca="false">Model!CD330+Model!CD335+Model!CD340+Model!CD345</f>
        <v>147868.937395636</v>
      </c>
      <c r="AC45" s="93" t="n">
        <f aca="false">Model!CG330+Model!CG335+Model!CG340+Model!CG345</f>
        <v>72052.0225479718</v>
      </c>
      <c r="AD45" s="93" t="n">
        <f aca="false">Model!CJ330+Model!CJ335+Model!CJ340+Model!CJ345</f>
        <v>0</v>
      </c>
      <c r="AE45" s="93" t="n">
        <f aca="false">Model!CM330+Model!CM335+Model!CM340+Model!CM345</f>
        <v>0</v>
      </c>
      <c r="AF45" s="93" t="n">
        <f aca="false">Model!CP330+Model!CP335+Model!CP340+Model!CP345</f>
        <v>0</v>
      </c>
      <c r="AG45" s="93" t="n">
        <f aca="false">Model!CS330+Model!CS335+Model!CS340+Model!CS345</f>
        <v>0</v>
      </c>
      <c r="AH45" s="93" t="n">
        <f aca="false">Model!CV330+Model!CV335+Model!CV340+Model!CV345</f>
        <v>0</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311</v>
      </c>
      <c r="B47" s="93" t="n">
        <f aca="false">Model!D356</f>
        <v>0</v>
      </c>
      <c r="C47" s="93" t="n">
        <f aca="false">Model!G356</f>
        <v>20879271.91</v>
      </c>
      <c r="D47" s="93" t="n">
        <f aca="false">Model!J356</f>
        <v>82574509.2435969</v>
      </c>
      <c r="E47" s="93" t="n">
        <f aca="false">Model!M356</f>
        <v>73141594.1403182</v>
      </c>
      <c r="F47" s="93" t="n">
        <f aca="false">Model!P356</f>
        <v>63395136.8555867</v>
      </c>
      <c r="G47" s="93" t="n">
        <f aca="false">Model!S356</f>
        <v>119386978.091578</v>
      </c>
      <c r="H47" s="93" t="n">
        <f aca="false">Model!V356</f>
        <v>102124255.658565</v>
      </c>
      <c r="I47" s="93" t="n">
        <f aca="false">Model!Y356</f>
        <v>83479181.902343</v>
      </c>
      <c r="J47" s="93" t="n">
        <f aca="false">Model!AB356</f>
        <v>59661528.1912432</v>
      </c>
      <c r="K47" s="93" t="n">
        <f aca="false">Model!AE356</f>
        <v>45842993.8520704</v>
      </c>
      <c r="L47" s="93" t="n">
        <f aca="false">Model!AH356</f>
        <v>29916794.836202</v>
      </c>
      <c r="M47" s="93" t="n">
        <f aca="false">Model!AK356</f>
        <v>17213731.86939</v>
      </c>
      <c r="N47" s="93" t="n">
        <f aca="false">Model!AN356</f>
        <v>9151447.09059</v>
      </c>
      <c r="O47" s="93" t="n">
        <f aca="false">Model!AQ356</f>
        <v>4798730.2877</v>
      </c>
      <c r="P47" s="93" t="n">
        <f aca="false">Model!AT356</f>
        <v>1566909.24355</v>
      </c>
      <c r="Q47" s="93" t="n">
        <f aca="false">Model!AW356</f>
        <v>0</v>
      </c>
      <c r="R47" s="93" t="n">
        <f aca="false">Model!AZ356</f>
        <v>0</v>
      </c>
      <c r="S47" s="93" t="n">
        <f aca="false">Model!BC356</f>
        <v>0</v>
      </c>
      <c r="T47" s="93" t="n">
        <f aca="false">Model!BF356</f>
        <v>0</v>
      </c>
      <c r="U47" s="93" t="n">
        <f aca="false">Model!BI356</f>
        <v>0</v>
      </c>
      <c r="V47" s="93" t="n">
        <f aca="false">Model!BL356</f>
        <v>0</v>
      </c>
      <c r="W47" s="93" t="n">
        <f aca="false">Model!BO356</f>
        <v>0</v>
      </c>
      <c r="X47" s="93" t="n">
        <f aca="false">Model!BR356</f>
        <v>0</v>
      </c>
      <c r="Y47" s="93" t="n">
        <f aca="false">Model!BU356</f>
        <v>0</v>
      </c>
      <c r="Z47" s="93" t="n">
        <f aca="false">Model!BX356</f>
        <v>0</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195</v>
      </c>
      <c r="B49" s="83" t="n">
        <f aca="false">Model!D369</f>
        <v>0</v>
      </c>
      <c r="C49" s="83" t="n">
        <f aca="false">Model!G369</f>
        <v>0</v>
      </c>
      <c r="D49" s="83" t="n">
        <f aca="false">Model!J369</f>
        <v>0</v>
      </c>
      <c r="E49" s="83" t="n">
        <f aca="false">Model!M369</f>
        <v>1970326.28</v>
      </c>
      <c r="F49" s="83" t="n">
        <f aca="false">Model!P369</f>
        <v>1221760.14401236</v>
      </c>
      <c r="G49" s="83" t="n">
        <f aca="false">Model!S369</f>
        <v>1870257.23997056</v>
      </c>
      <c r="H49" s="83" t="n">
        <f aca="false">Model!V369</f>
        <v>2894511.4327371</v>
      </c>
      <c r="I49" s="83" t="n">
        <f aca="false">Model!Y369</f>
        <v>4127390.89551343</v>
      </c>
      <c r="J49" s="83" t="n">
        <f aca="false">Model!AB369</f>
        <v>5359456.33940078</v>
      </c>
      <c r="K49" s="83" t="n">
        <f aca="false">Model!AE369</f>
        <v>5922190.09047404</v>
      </c>
      <c r="L49" s="83" t="n">
        <f aca="false">Model!AH369</f>
        <v>6879714.52798686</v>
      </c>
      <c r="M49" s="83" t="n">
        <f aca="false">Model!AK369</f>
        <v>6968248.26436434</v>
      </c>
      <c r="N49" s="83" t="n">
        <f aca="false">Model!AN369</f>
        <v>7220951.95955621</v>
      </c>
      <c r="O49" s="83" t="n">
        <f aca="false">Model!AQ369</f>
        <v>7134713.88452156</v>
      </c>
      <c r="P49" s="83" t="n">
        <f aca="false">Model!AT369</f>
        <v>6444989.34211903</v>
      </c>
      <c r="Q49" s="83" t="n">
        <f aca="false">Model!AW369</f>
        <v>6095240.40135868</v>
      </c>
      <c r="R49" s="83" t="n">
        <f aca="false">Model!AZ369</f>
        <v>4891281.15691377</v>
      </c>
      <c r="S49" s="83" t="n">
        <f aca="false">Model!BC369</f>
        <v>3687321.91246885</v>
      </c>
      <c r="T49" s="83" t="n">
        <f aca="false">Model!BF369</f>
        <v>2483362.66802394</v>
      </c>
      <c r="U49" s="83" t="n">
        <f aca="false">Model!BI369</f>
        <v>1079403.42357903</v>
      </c>
      <c r="V49" s="83" t="n">
        <f aca="false">Model!BL369</f>
        <v>-147402.00575478</v>
      </c>
      <c r="W49" s="83" t="n">
        <f aca="false">Model!BO369</f>
        <v>-1374207.43508859</v>
      </c>
      <c r="X49" s="83" t="n">
        <f aca="false">Model!BR369</f>
        <v>-2601012.8644224</v>
      </c>
      <c r="Y49" s="83" t="n">
        <f aca="false">Model!BU369</f>
        <v>-4027818.29375621</v>
      </c>
      <c r="Z49" s="83" t="n">
        <f aca="false">Model!BX369</f>
        <v>-5277926.8316767</v>
      </c>
      <c r="AA49" s="83" t="n">
        <f aca="false">Model!CA369</f>
        <v>-6528035.36959718</v>
      </c>
      <c r="AB49" s="83" t="n">
        <f aca="false">Model!CD369</f>
        <v>-7778143.90751767</v>
      </c>
      <c r="AC49" s="83" t="n">
        <f aca="false">Model!CG369</f>
        <v>-9228252.44543816</v>
      </c>
      <c r="AD49" s="83" t="n">
        <f aca="false">Model!CJ369</f>
        <v>-10502130.1541171</v>
      </c>
      <c r="AE49" s="83" t="n">
        <f aca="false">Model!CM369</f>
        <v>-11776007.862796</v>
      </c>
      <c r="AF49" s="83" t="n">
        <f aca="false">Model!CP369</f>
        <v>-13049885.5714748</v>
      </c>
      <c r="AG49" s="83" t="n">
        <f aca="false">Model!CS369</f>
        <v>-14523763.2801537</v>
      </c>
      <c r="AH49" s="83" t="n">
        <f aca="false">Model!CV369</f>
        <v>-15700259.2194032</v>
      </c>
      <c r="AI49" s="83" t="n">
        <f aca="false">Model!CY369</f>
        <v>-16876755.1586527</v>
      </c>
      <c r="AJ49" s="83" t="n">
        <f aca="false">Model!DB369</f>
        <v>-18053251.0979021</v>
      </c>
      <c r="AK49" s="83" t="n">
        <f aca="false">Model!DE369</f>
        <v>-19429747.0371516</v>
      </c>
    </row>
    <row r="50" customFormat="false" ht="15" hidden="false" customHeight="true" outlineLevel="0" collapsed="false">
      <c r="A50" s="82" t="s">
        <v>312</v>
      </c>
      <c r="B50" s="83" t="n">
        <f aca="false">Model!D378</f>
        <v>0</v>
      </c>
      <c r="C50" s="83" t="n">
        <f aca="false">Model!G378</f>
        <v>0</v>
      </c>
      <c r="D50" s="83" t="n">
        <f aca="false">Model!J378</f>
        <v>0</v>
      </c>
      <c r="E50" s="83" t="n">
        <f aca="false">Model!M378</f>
        <v>-183100.46135</v>
      </c>
      <c r="F50" s="83" t="n">
        <f aca="false">Model!P378</f>
        <v>-902417.727244991</v>
      </c>
      <c r="G50" s="83" t="n">
        <f aca="false">Model!S378</f>
        <v>-1375473.59382394</v>
      </c>
      <c r="H50" s="83" t="n">
        <f aca="false">Model!V378</f>
        <v>-2142498.21040289</v>
      </c>
      <c r="I50" s="83" t="n">
        <f aca="false">Model!Y378</f>
        <v>-2964147.82698183</v>
      </c>
      <c r="J50" s="83" t="n">
        <f aca="false">Model!AB378</f>
        <v>-4990702.37106184</v>
      </c>
      <c r="K50" s="83" t="n">
        <f aca="false">Model!AE378</f>
        <v>-5823091.14734079</v>
      </c>
      <c r="L50" s="83" t="n">
        <f aca="false">Model!AH378</f>
        <v>-6722328.60783026</v>
      </c>
      <c r="M50" s="83" t="n">
        <f aca="false">Model!AK378</f>
        <v>-7657439.75253026</v>
      </c>
      <c r="N50" s="83" t="n">
        <f aca="false">Model!AN378</f>
        <v>-8712835.48046459</v>
      </c>
      <c r="O50" s="83" t="n">
        <f aca="false">Model!AQ378</f>
        <v>-9322900.56805859</v>
      </c>
      <c r="P50" s="83" t="n">
        <f aca="false">Model!AT378</f>
        <v>-9932965.65565259</v>
      </c>
      <c r="Q50" s="83" t="n">
        <f aca="false">Model!AW378</f>
        <v>-10543030.7432466</v>
      </c>
      <c r="R50" s="83" t="n">
        <f aca="false">Model!AZ378</f>
        <v>-11164268.8525925</v>
      </c>
      <c r="S50" s="83" t="n">
        <f aca="false">Model!BC378</f>
        <v>-11785506.9619384</v>
      </c>
      <c r="T50" s="83" t="n">
        <f aca="false">Model!BF378</f>
        <v>-12406745.0712842</v>
      </c>
      <c r="U50" s="83" t="n">
        <f aca="false">Model!BI378</f>
        <v>-13027983.1806301</v>
      </c>
      <c r="V50" s="83" t="n">
        <f aca="false">Model!BL378</f>
        <v>-13660617.7721629</v>
      </c>
      <c r="W50" s="83" t="n">
        <f aca="false">Model!BO378</f>
        <v>-14293252.3636957</v>
      </c>
      <c r="X50" s="83" t="n">
        <f aca="false">Model!BR378</f>
        <v>-14872636.6052285</v>
      </c>
      <c r="Y50" s="83" t="n">
        <f aca="false">Model!BU378</f>
        <v>-15437509.1967613</v>
      </c>
      <c r="Z50" s="83" t="n">
        <f aca="false">Model!BX378</f>
        <v>-16014006.2001248</v>
      </c>
      <c r="AA50" s="83" t="n">
        <f aca="false">Model!CA378</f>
        <v>-16590503.2034882</v>
      </c>
      <c r="AB50" s="83" t="n">
        <f aca="false">Model!CD378</f>
        <v>-17158263.2068517</v>
      </c>
      <c r="AC50" s="83" t="n">
        <f aca="false">Model!CG378</f>
        <v>-17726023.2102151</v>
      </c>
      <c r="AD50" s="83" t="n">
        <f aca="false">Model!CJ378</f>
        <v>-18299032.0870394</v>
      </c>
      <c r="AE50" s="83" t="n">
        <f aca="false">Model!CM378</f>
        <v>-18481564.9904701</v>
      </c>
      <c r="AF50" s="83" t="n">
        <f aca="false">Model!CP378</f>
        <v>-18664097.8939008</v>
      </c>
      <c r="AG50" s="83" t="n">
        <f aca="false">Model!CS378</f>
        <v>-18846630.7973315</v>
      </c>
      <c r="AH50" s="83" t="n">
        <f aca="false">Model!CV378</f>
        <v>-19023320.294202</v>
      </c>
      <c r="AI50" s="83" t="n">
        <f aca="false">Model!CY378</f>
        <v>-19200009.7910725</v>
      </c>
      <c r="AJ50" s="83" t="n">
        <f aca="false">Model!DB378</f>
        <v>-19376699.2879429</v>
      </c>
      <c r="AK50" s="83" t="n">
        <f aca="false">Model!DE378</f>
        <v>-19553388.7848134</v>
      </c>
    </row>
    <row r="51" customFormat="false" ht="15" hidden="false" customHeight="true" outlineLevel="0" collapsed="false">
      <c r="A51" s="82" t="s">
        <v>313</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-238768.887612201</v>
      </c>
      <c r="G51" s="83" t="n">
        <f aca="false">Model!Q382+Model!R382+Model!S382</f>
        <v>0</v>
      </c>
      <c r="H51" s="83" t="n">
        <f aca="false">Model!T382+Model!U382+Model!V382</f>
        <v>0</v>
      </c>
      <c r="I51" s="83" t="n">
        <f aca="false">Model!W382+Model!X382+Model!Y382</f>
        <v>0</v>
      </c>
      <c r="J51" s="83" t="n">
        <f aca="false">Model!Z382+Model!AA382+Model!AB382</f>
        <v>-944165.767801063</v>
      </c>
      <c r="K51" s="83" t="n">
        <f aca="false">Model!AC382+Model!AD382+Model!AE382</f>
        <v>0</v>
      </c>
      <c r="L51" s="83" t="n">
        <f aca="false">Model!AF382+Model!AG382+Model!AH382</f>
        <v>0</v>
      </c>
      <c r="M51" s="83" t="n">
        <f aca="false">Model!AI382+Model!AJ382+Model!AK382</f>
        <v>0</v>
      </c>
      <c r="N51" s="83" t="n">
        <f aca="false">Model!AL382+Model!AM382+Model!AN382</f>
        <v>-151211.432256011</v>
      </c>
      <c r="O51" s="83" t="n">
        <f aca="false">Model!AO382+Model!AP382+Model!AQ382</f>
        <v>0</v>
      </c>
      <c r="P51" s="83" t="n">
        <f aca="false">Model!AR382+Model!AS382+Model!AT382</f>
        <v>0</v>
      </c>
      <c r="Q51" s="83" t="n">
        <f aca="false">Model!AU382+Model!AV382+Model!AW382</f>
        <v>0</v>
      </c>
      <c r="R51" s="83" t="n">
        <f aca="false">Model!AX382+Model!AY382+Model!AZ382</f>
        <v>0</v>
      </c>
      <c r="S51" s="83" t="n">
        <f aca="false">Model!BA382+Model!BB382+Model!BC382</f>
        <v>0</v>
      </c>
      <c r="T51" s="83" t="n">
        <f aca="false">Model!BD382+Model!BE382+Model!BF382</f>
        <v>0</v>
      </c>
      <c r="U51" s="83" t="n">
        <f aca="false">Model!BG382+Model!BH382+Model!BI382</f>
        <v>0</v>
      </c>
      <c r="V51" s="83" t="n">
        <f aca="false">Model!BJ382+Model!BK382+Model!BL382</f>
        <v>0</v>
      </c>
      <c r="W51" s="83" t="n">
        <f aca="false">Model!BM382+Model!BN382+Model!BO382</f>
        <v>0</v>
      </c>
      <c r="X51" s="83" t="n">
        <f aca="false">Model!BP382+Model!BQ382+Model!BR382</f>
        <v>0</v>
      </c>
      <c r="Y51" s="83" t="n">
        <f aca="false">Model!BS382+Model!BT382+Model!BU382</f>
        <v>0</v>
      </c>
      <c r="Z51" s="83" t="n">
        <f aca="false">Model!BV382+Model!BW382+Model!BX382</f>
        <v>0</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314</v>
      </c>
      <c r="B52" s="84" t="n">
        <f aca="false">Model!D383</f>
        <v>0</v>
      </c>
      <c r="C52" s="84" t="n">
        <f aca="false">Model!G383</f>
        <v>0</v>
      </c>
      <c r="D52" s="84" t="n">
        <f aca="false">Model!J383</f>
        <v>0</v>
      </c>
      <c r="E52" s="84" t="n">
        <f aca="false">Model!M383</f>
        <v>1787225.81865</v>
      </c>
      <c r="F52" s="84" t="n">
        <f aca="false">Model!P383</f>
        <v>319342.416767369</v>
      </c>
      <c r="G52" s="84" t="n">
        <f aca="false">Model!S383</f>
        <v>494783.646146623</v>
      </c>
      <c r="H52" s="84" t="n">
        <f aca="false">Model!V383</f>
        <v>752013.222334212</v>
      </c>
      <c r="I52" s="84" t="n">
        <f aca="false">Model!Y383</f>
        <v>1163243.0685316</v>
      </c>
      <c r="J52" s="84" t="n">
        <f aca="false">Model!AB383</f>
        <v>368753.968338938</v>
      </c>
      <c r="K52" s="84" t="n">
        <f aca="false">Model!AE383</f>
        <v>99098.9431332527</v>
      </c>
      <c r="L52" s="84" t="n">
        <f aca="false">Model!AH383</f>
        <v>157385.920156598</v>
      </c>
      <c r="M52" s="84" t="n">
        <f aca="false">Model!AK383</f>
        <v>-689191.488165925</v>
      </c>
      <c r="N52" s="84" t="n">
        <f aca="false">Model!AN383</f>
        <v>-1491883.52090837</v>
      </c>
      <c r="O52" s="84" t="n">
        <f aca="false">Model!AQ383</f>
        <v>-2188186.68353703</v>
      </c>
      <c r="P52" s="84" t="n">
        <f aca="false">Model!AT383</f>
        <v>-3487976.31353357</v>
      </c>
      <c r="Q52" s="84" t="n">
        <f aca="false">Model!AW383</f>
        <v>-4447790.34188791</v>
      </c>
      <c r="R52" s="84" t="n">
        <f aca="false">Model!AZ383</f>
        <v>-6272987.6956787</v>
      </c>
      <c r="S52" s="84" t="n">
        <f aca="false">Model!BC383</f>
        <v>-8098185.0494695</v>
      </c>
      <c r="T52" s="84" t="n">
        <f aca="false">Model!BF383</f>
        <v>-9923382.40326029</v>
      </c>
      <c r="U52" s="84" t="n">
        <f aca="false">Model!BI383</f>
        <v>-11948579.7570511</v>
      </c>
      <c r="V52" s="84" t="n">
        <f aca="false">Model!BL383</f>
        <v>-13808019.7779177</v>
      </c>
      <c r="W52" s="84" t="n">
        <f aca="false">Model!BO383</f>
        <v>-15667459.7987843</v>
      </c>
      <c r="X52" s="84" t="n">
        <f aca="false">Model!BR383</f>
        <v>-17473649.4696509</v>
      </c>
      <c r="Y52" s="84" t="n">
        <f aca="false">Model!BU383</f>
        <v>-19465327.4905175</v>
      </c>
      <c r="Z52" s="84" t="n">
        <f aca="false">Model!BX383</f>
        <v>-21291933.0318015</v>
      </c>
      <c r="AA52" s="84" t="n">
        <f aca="false">Model!CA383</f>
        <v>-23118538.5730854</v>
      </c>
      <c r="AB52" s="84" t="n">
        <f aca="false">Model!CD383</f>
        <v>-24936407.1143693</v>
      </c>
      <c r="AC52" s="84" t="n">
        <f aca="false">Model!CG383</f>
        <v>-26954275.6556533</v>
      </c>
      <c r="AD52" s="84" t="n">
        <f aca="false">Model!CJ383</f>
        <v>-28801162.2411564</v>
      </c>
      <c r="AE52" s="84" t="n">
        <f aca="false">Model!CM383</f>
        <v>-30257572.853266</v>
      </c>
      <c r="AF52" s="84" t="n">
        <f aca="false">Model!CP383</f>
        <v>-31713983.4653757</v>
      </c>
      <c r="AG52" s="84" t="n">
        <f aca="false">Model!CS383</f>
        <v>-33370394.0774853</v>
      </c>
      <c r="AH52" s="84" t="n">
        <f aca="false">Model!CV383</f>
        <v>-34723579.5136052</v>
      </c>
      <c r="AI52" s="84" t="n">
        <f aca="false">Model!CY383</f>
        <v>-36076764.9497251</v>
      </c>
      <c r="AJ52" s="84" t="n">
        <f aca="false">Model!DB383</f>
        <v>-37429950.385845</v>
      </c>
      <c r="AK52" s="84" t="n">
        <f aca="false">Model!DE383</f>
        <v>-38983135.8219649</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123</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124</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123</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124</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125</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126</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127</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128</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129</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130</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131</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132</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133</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134</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135</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136</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137</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138</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139</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140</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30468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09"/>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0"/>
      <c r="B6" s="110" t="s">
        <v>371</v>
      </c>
      <c r="C6" s="110" t="s">
        <v>372</v>
      </c>
      <c r="D6" s="110" t="s">
        <v>373</v>
      </c>
      <c r="E6" s="110" t="s">
        <v>374</v>
      </c>
      <c r="F6" s="110" t="s">
        <v>375</v>
      </c>
      <c r="G6" s="110" t="s">
        <v>376</v>
      </c>
      <c r="AP6" s="111" t="s">
        <v>377</v>
      </c>
    </row>
    <row r="7" customFormat="false" ht="15" hidden="false" customHeight="true" outlineLevel="0" collapsed="false">
      <c r="A7" s="112" t="s">
        <v>378</v>
      </c>
    </row>
    <row r="8" customFormat="false" ht="15" hidden="false" customHeight="true" outlineLevel="0" collapsed="false">
      <c r="A8" s="109" t="s">
        <v>379</v>
      </c>
      <c r="B8" s="113" t="n">
        <f aca="false">SUM(Budget!$C$81:$N$81)</f>
        <v>647381.91</v>
      </c>
      <c r="C8" s="113" t="n">
        <f aca="false">SUM(Model!$B$261:$M$261)</f>
        <v>911172.31</v>
      </c>
      <c r="D8" s="113" t="n">
        <f aca="false">C8-B8</f>
        <v>263790.4</v>
      </c>
      <c r="E8" s="113" t="n">
        <f aca="false">AM105</f>
        <v>499641.54</v>
      </c>
      <c r="F8" s="113" t="n">
        <f aca="false">AL105</f>
        <v>803678.56</v>
      </c>
      <c r="G8" s="113" t="n">
        <f aca="false">F8-E8</f>
        <v>304037.02</v>
      </c>
      <c r="AP8" s="114" t="s">
        <v>380</v>
      </c>
    </row>
    <row r="9" customFormat="false" ht="15" hidden="false" customHeight="true" outlineLevel="0" collapsed="false">
      <c r="A9" s="109" t="s">
        <v>381</v>
      </c>
      <c r="B9" s="113" t="n">
        <f aca="false">SUM(Budget!$C$112:$N$112)</f>
        <v>-1657836.78</v>
      </c>
      <c r="C9" s="113" t="n">
        <f aca="false">SUM(Model!$B$292:$M$292)</f>
        <v>-2431727.65</v>
      </c>
      <c r="D9" s="113" t="n">
        <f aca="false">C9-B9</f>
        <v>-773890.87</v>
      </c>
      <c r="E9" s="113" t="n">
        <f aca="false">AM136</f>
        <v>-1244155.83</v>
      </c>
      <c r="F9" s="113" t="n">
        <f aca="false">AL136</f>
        <v>-1889927.29</v>
      </c>
      <c r="G9" s="113" t="n">
        <f aca="false">F9-E9</f>
        <v>-645771.46</v>
      </c>
      <c r="AP9" s="114" t="s">
        <v>382</v>
      </c>
    </row>
    <row r="10" customFormat="false" ht="15" hidden="false" customHeight="true" outlineLevel="0" collapsed="false">
      <c r="A10" s="115" t="s">
        <v>140</v>
      </c>
      <c r="B10" s="116" t="n">
        <f aca="false">SUM(Budget!$C$114:$N$114)</f>
        <v>-1010454.87</v>
      </c>
      <c r="C10" s="116" t="n">
        <f aca="false">SUM(Model!$B$293:$M$293)</f>
        <v>-1520555.34</v>
      </c>
      <c r="D10" s="116" t="n">
        <f aca="false">C10-B10</f>
        <v>-510100.47</v>
      </c>
      <c r="E10" s="116" t="n">
        <f aca="false">AM138</f>
        <v>-744514.29</v>
      </c>
      <c r="F10" s="116" t="n">
        <f aca="false">AL138</f>
        <v>-1035411.69</v>
      </c>
      <c r="G10" s="116" t="n">
        <f aca="false">F10-E10</f>
        <v>-290897.4</v>
      </c>
      <c r="AP10" s="114" t="s">
        <v>383</v>
      </c>
    </row>
    <row r="11" customFormat="false" ht="15" hidden="false" customHeight="true" outlineLevel="0" collapsed="false">
      <c r="A11" s="112" t="s">
        <v>384</v>
      </c>
    </row>
    <row r="12" customFormat="false" ht="15" hidden="false" customHeight="true" outlineLevel="0" collapsed="false">
      <c r="A12" s="109" t="s">
        <v>385</v>
      </c>
      <c r="B12" s="113" t="n">
        <f aca="false">SUM(Budget!$C$8:$N$11)</f>
        <v>5822291.95</v>
      </c>
      <c r="C12" s="113" t="n">
        <f aca="false">SUM(Model!$B$10:$M$11)</f>
        <v>6318146.89</v>
      </c>
      <c r="D12" s="113" t="n">
        <f aca="false">C12-B12</f>
        <v>495854.94</v>
      </c>
      <c r="E12" s="113" t="n">
        <f aca="false">SUM(AM32:AM35)</f>
        <v>4143426.93</v>
      </c>
      <c r="F12" s="113" t="n">
        <f aca="false">SUM(AL32:AL35)</f>
        <v>4444917.71</v>
      </c>
      <c r="G12" s="113" t="n">
        <f aca="false">F12-E12</f>
        <v>301490.78</v>
      </c>
      <c r="AP12" s="114" t="s">
        <v>386</v>
      </c>
    </row>
    <row r="13" customFormat="false" ht="15" hidden="false" customHeight="true" outlineLevel="0" collapsed="false">
      <c r="A13" s="109" t="s">
        <v>387</v>
      </c>
      <c r="B13" s="113" t="n">
        <f aca="false">SUM(Budget!$C$12:$N$12)+SUM(Budget!$C$14:$N$14)</f>
        <v>0</v>
      </c>
      <c r="C13" s="113" t="n">
        <f aca="false">SUM(Model!$B$57:$M$57)+SUM(Model!$B$104:$M$104)+SUM(Model!$B$197:$M$198)</f>
        <v>156578.910000003</v>
      </c>
      <c r="D13" s="113" t="n">
        <f aca="false">C13-B13</f>
        <v>156578.910000003</v>
      </c>
      <c r="E13" s="113" t="n">
        <f aca="false">AM36+AM38</f>
        <v>0</v>
      </c>
      <c r="F13" s="113" t="n">
        <f aca="false">AL36+AL38</f>
        <v>542520.770000003</v>
      </c>
      <c r="G13" s="113" t="n">
        <f aca="false">F13-E13</f>
        <v>542520.770000003</v>
      </c>
      <c r="AP13" s="114" t="s">
        <v>388</v>
      </c>
    </row>
    <row r="14" customFormat="false" ht="15" hidden="false" customHeight="true" outlineLevel="0" collapsed="false">
      <c r="A14" s="109" t="s">
        <v>389</v>
      </c>
      <c r="B14" s="113" t="n">
        <f aca="false">SUM(Budget!$C$15:$N$16)</f>
        <v>0</v>
      </c>
      <c r="C14" s="113" t="n">
        <f aca="false">SUM(Model!$B$196:$M$196)</f>
        <v>-391167.79225</v>
      </c>
      <c r="D14" s="113" t="n">
        <f aca="false">C14-B14</f>
        <v>-391167.79225</v>
      </c>
      <c r="E14" s="113" t="n">
        <f aca="false">AM39+AM40</f>
        <v>0</v>
      </c>
      <c r="F14" s="113" t="n">
        <f aca="false">AL39+AL40</f>
        <v>0</v>
      </c>
      <c r="G14" s="113" t="n">
        <f aca="false">F14-E14</f>
        <v>0</v>
      </c>
      <c r="AP14" s="114" t="s">
        <v>390</v>
      </c>
    </row>
    <row r="15" customFormat="false" ht="15" hidden="false" customHeight="true" outlineLevel="0" collapsed="false">
      <c r="A15" s="115" t="s">
        <v>61</v>
      </c>
      <c r="B15" s="116" t="n">
        <f aca="false">SUM(Budget!$C$17:$N$17)</f>
        <v>5822291.95</v>
      </c>
      <c r="C15" s="116" t="n">
        <f aca="false">SUM(Model!$B$199:$M$199)</f>
        <v>6083558.00775</v>
      </c>
      <c r="D15" s="116" t="n">
        <f aca="false">C15-B15</f>
        <v>261266.057750002</v>
      </c>
      <c r="E15" s="116" t="n">
        <f aca="false">AM41</f>
        <v>4143426.93</v>
      </c>
      <c r="F15" s="116" t="n">
        <f aca="false">AL41</f>
        <v>4987438.48</v>
      </c>
      <c r="G15" s="116" t="n">
        <f aca="false">F15-E15</f>
        <v>844011.550000002</v>
      </c>
      <c r="AP15" s="114" t="s">
        <v>391</v>
      </c>
    </row>
    <row r="16" customFormat="false" ht="15" hidden="false" customHeight="true" outlineLevel="0" collapsed="false">
      <c r="A16" s="109" t="s">
        <v>392</v>
      </c>
      <c r="B16" s="113" t="n">
        <f aca="false">SUM(Budget!$C$55:$N$55)</f>
        <v>-3863881.5</v>
      </c>
      <c r="C16" s="113" t="n">
        <f aca="false">SUM(Model!$B$236:$M$236)</f>
        <v>-4091637.219</v>
      </c>
      <c r="D16" s="113" t="n">
        <f aca="false">C16-B16</f>
        <v>-227755.719</v>
      </c>
      <c r="E16" s="113" t="n">
        <f aca="false">AM79</f>
        <v>-2896936.65</v>
      </c>
      <c r="F16" s="113" t="n">
        <f aca="false">AL79</f>
        <v>-2795054.33</v>
      </c>
      <c r="G16" s="113" t="n">
        <f aca="false">F16-E16</f>
        <v>101882.32</v>
      </c>
      <c r="AP16" s="114" t="s">
        <v>393</v>
      </c>
    </row>
    <row r="17" customFormat="false" ht="15" hidden="false" customHeight="true" outlineLevel="0" collapsed="false">
      <c r="A17" s="115" t="s">
        <v>98</v>
      </c>
      <c r="B17" s="116" t="n">
        <f aca="false">SUM(Budget!$C$57:$N$57)</f>
        <v>1958410.45</v>
      </c>
      <c r="C17" s="116" t="n">
        <f aca="false">SUM(Model!$B$237:$M$237)</f>
        <v>1991920.78875</v>
      </c>
      <c r="D17" s="116" t="n">
        <f aca="false">C17-B17</f>
        <v>33510.3387500027</v>
      </c>
      <c r="E17" s="116" t="n">
        <f aca="false">AM81</f>
        <v>1246490.28</v>
      </c>
      <c r="F17" s="116" t="n">
        <f aca="false">AL81</f>
        <v>2192384.15</v>
      </c>
      <c r="G17" s="116" t="n">
        <f aca="false">F17-E17</f>
        <v>945893.870000001</v>
      </c>
      <c r="AP17" s="114" t="s">
        <v>394</v>
      </c>
    </row>
    <row r="18" customFormat="false" ht="15" hidden="false" customHeight="true" outlineLevel="0" collapsed="false">
      <c r="A18" s="115" t="s">
        <v>395</v>
      </c>
      <c r="B18" s="117" t="n">
        <f aca="false">B10+B17</f>
        <v>947955.58</v>
      </c>
      <c r="C18" s="117" t="n">
        <f aca="false">SUM(Model!$B$308:$M$308)</f>
        <v>474689.637400002</v>
      </c>
      <c r="D18" s="117" t="n">
        <f aca="false">C18-B18</f>
        <v>-473265.942599998</v>
      </c>
      <c r="E18" s="117" t="n">
        <f aca="false">E10+E17</f>
        <v>501975.99</v>
      </c>
      <c r="F18" s="117" t="n">
        <f aca="false">AL141</f>
        <v>1156972.46</v>
      </c>
      <c r="G18" s="117" t="n">
        <f aca="false">F18-E18</f>
        <v>654996.470000001</v>
      </c>
      <c r="AP18" s="114" t="s">
        <v>396</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-682282.822599999</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405</v>
      </c>
      <c r="D29" s="110" t="s">
        <v>373</v>
      </c>
      <c r="E29" s="110" t="s">
        <v>404</v>
      </c>
      <c r="F29" s="110" t="s">
        <v>405</v>
      </c>
      <c r="G29" s="110" t="s">
        <v>373</v>
      </c>
      <c r="H29" s="110" t="s">
        <v>404</v>
      </c>
      <c r="I29" s="110" t="s">
        <v>405</v>
      </c>
      <c r="J29" s="110" t="s">
        <v>373</v>
      </c>
      <c r="K29" s="110" t="s">
        <v>404</v>
      </c>
      <c r="L29" s="110" t="s">
        <v>405</v>
      </c>
      <c r="M29" s="110" t="s">
        <v>373</v>
      </c>
      <c r="N29" s="110" t="s">
        <v>404</v>
      </c>
      <c r="O29" s="110" t="s">
        <v>405</v>
      </c>
      <c r="P29" s="110" t="s">
        <v>373</v>
      </c>
      <c r="Q29" s="110" t="s">
        <v>404</v>
      </c>
      <c r="R29" s="110" t="s">
        <v>405</v>
      </c>
      <c r="S29" s="110" t="s">
        <v>373</v>
      </c>
      <c r="T29" s="110" t="s">
        <v>404</v>
      </c>
      <c r="U29" s="110" t="s">
        <v>405</v>
      </c>
      <c r="V29" s="110" t="s">
        <v>373</v>
      </c>
      <c r="W29" s="110" t="s">
        <v>404</v>
      </c>
      <c r="X29" s="110" t="s">
        <v>405</v>
      </c>
      <c r="Y29" s="110" t="s">
        <v>373</v>
      </c>
      <c r="Z29" s="110" t="s">
        <v>404</v>
      </c>
      <c r="AA29" s="110" t="s">
        <v>405</v>
      </c>
      <c r="AB29" s="110" t="s">
        <v>373</v>
      </c>
      <c r="AC29" s="110" t="s">
        <v>404</v>
      </c>
      <c r="AD29" s="110" t="s">
        <v>405</v>
      </c>
      <c r="AE29" s="110" t="s">
        <v>373</v>
      </c>
      <c r="AF29" s="110" t="s">
        <v>404</v>
      </c>
      <c r="AG29" s="110" t="s">
        <v>405</v>
      </c>
      <c r="AH29" s="110" t="s">
        <v>373</v>
      </c>
      <c r="AI29" s="110" t="s">
        <v>404</v>
      </c>
      <c r="AJ29" s="110" t="s">
        <v>405</v>
      </c>
      <c r="AK29" s="110" t="s">
        <v>373</v>
      </c>
      <c r="AL29" s="110" t="s">
        <v>404</v>
      </c>
      <c r="AM29" s="110" t="s">
        <v>405</v>
      </c>
      <c r="AN29" s="110" t="s">
        <v>373</v>
      </c>
      <c r="AP29" s="111" t="s">
        <v>406</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408</v>
      </c>
    </row>
    <row r="33" customFormat="false" ht="15" hidden="false" customHeight="true" outlineLevel="0" collapsed="false">
      <c r="A33" s="109" t="s">
        <v>354</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409</v>
      </c>
    </row>
    <row r="35" customFormat="false" ht="15" hidden="false" customHeight="true" outlineLevel="0" collapsed="false">
      <c r="A35" s="109" t="s">
        <v>355</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410</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411</v>
      </c>
    </row>
    <row r="38" customFormat="false" ht="15" hidden="false" customHeight="true" outlineLevel="0" collapsed="false">
      <c r="A38" s="109" t="s">
        <v>356</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412</v>
      </c>
    </row>
    <row r="39" customFormat="false" ht="15" hidden="false" customHeight="true" outlineLevel="0" collapsed="false">
      <c r="A39" s="109" t="s">
        <v>413</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414</v>
      </c>
    </row>
    <row r="40" customFormat="false" ht="15" hidden="false" customHeight="true" outlineLevel="0" collapsed="false">
      <c r="A40" s="109" t="s">
        <v>415</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416</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417</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false" customHeight="true" outlineLevel="1" collapsed="false">
      <c r="A45" s="109" t="s">
        <v>123</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418</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419</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420</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421</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422</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423</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424</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425</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426</v>
      </c>
    </row>
    <row r="57" customFormat="false" ht="15" hidden="false" customHeight="true" outlineLevel="1" collapsed="false">
      <c r="A57" s="109" t="s">
        <v>124</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427</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428</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429</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430</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431</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432</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433</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434</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435</v>
      </c>
    </row>
    <row r="78" customFormat="false" ht="15" hidden="false" customHeight="true" outlineLevel="1" collapsed="false">
      <c r="A78" s="109" t="s">
        <v>359</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436</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437</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439</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440</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441</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442</v>
      </c>
    </row>
    <row r="95" customFormat="false" ht="15" hidden="true" customHeight="true" outlineLevel="1" collapsed="false">
      <c r="A95" s="109" t="s">
        <v>360</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361</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362</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363</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443</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364</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444</v>
      </c>
    </row>
    <row r="107" customFormat="false" ht="15" hidden="true" customHeight="true" outlineLevel="1" collapsed="false">
      <c r="A107" s="109" t="s">
        <v>123</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445</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446</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447</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124</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125</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126</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127</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448</v>
      </c>
    </row>
    <row r="118" customFormat="false" ht="15" hidden="true" customHeight="true" outlineLevel="1" collapsed="false">
      <c r="A118" s="109" t="s">
        <v>128</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129</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449</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450</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451</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452</v>
      </c>
    </row>
    <row r="124" customFormat="false" ht="15" hidden="true" customHeight="true" outlineLevel="1" collapsed="false">
      <c r="A124" s="109" t="s">
        <v>130</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453</v>
      </c>
    </row>
    <row r="125" customFormat="false" ht="15" hidden="true" customHeight="true" outlineLevel="1" collapsed="false">
      <c r="A125" s="109" t="s">
        <v>131</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454</v>
      </c>
    </row>
    <row r="126" customFormat="false" ht="15" hidden="true" customHeight="true" outlineLevel="1" collapsed="false">
      <c r="A126" s="109" t="s">
        <v>132</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133</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455</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456</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134</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457</v>
      </c>
    </row>
    <row r="137" customFormat="false" ht="15" hidden="false" customHeight="true" outlineLevel="0" collapsed="false">
      <c r="A137" s="109" t="s">
        <v>365</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458</v>
      </c>
    </row>
    <row r="138" customFormat="false" ht="15" hidden="false" customHeight="true" outlineLevel="0" collapsed="false">
      <c r="A138" s="115" t="s">
        <v>140</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459</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462</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c r="AP142" s="114" t="s">
        <v>465</v>
      </c>
    </row>
    <row r="143" customFormat="false" ht="15" hidden="false" customHeight="true" outlineLevel="0" collapsed="false">
      <c r="A143" s="115" t="s">
        <v>466</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467</v>
      </c>
    </row>
    <row r="146" customFormat="false" ht="13.5" hidden="false" customHeight="true" outlineLevel="0" collapsed="false">
      <c r="A146" s="94" t="s">
        <v>468</v>
      </c>
    </row>
    <row r="147" customFormat="false" ht="13.5" hidden="false" customHeight="true" outlineLevel="0" collapsed="false">
      <c r="A147" s="72" t="s">
        <v>469</v>
      </c>
    </row>
    <row r="148" customFormat="false" ht="30" hidden="false" customHeight="true" outlineLevel="0" collapsed="false">
      <c r="A148" s="122" t="s">
        <v>470</v>
      </c>
      <c r="B148" s="122" t="s">
        <v>471</v>
      </c>
      <c r="C148" s="122" t="s">
        <v>472</v>
      </c>
      <c r="D148" s="122" t="s">
        <v>373</v>
      </c>
      <c r="E148" s="122" t="s">
        <v>473</v>
      </c>
      <c r="F148" s="122" t="s">
        <v>474</v>
      </c>
      <c r="G148" s="122" t="s">
        <v>373</v>
      </c>
      <c r="H148" s="122" t="s">
        <v>475</v>
      </c>
      <c r="I148" s="122" t="s">
        <v>476</v>
      </c>
      <c r="J148" s="122" t="s">
        <v>477</v>
      </c>
      <c r="K148" s="122" t="s">
        <v>478</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479</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480</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481</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482</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483</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484</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485</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486</v>
      </c>
    </row>
    <row r="157" customFormat="false" ht="13.5" hidden="false" customHeight="true" outlineLevel="0" collapsed="false">
      <c r="A157" s="123" t="s">
        <v>487</v>
      </c>
      <c r="B157" s="124" t="n">
        <v>0</v>
      </c>
      <c r="C157" s="124" t="n">
        <v>0</v>
      </c>
      <c r="D157" s="124" t="n">
        <v>0</v>
      </c>
      <c r="E157" s="124" t="n">
        <v>0</v>
      </c>
      <c r="F157" s="124" t="n">
        <v>0</v>
      </c>
      <c r="G157" s="124" t="n">
        <v>0</v>
      </c>
      <c r="H157" s="124" t="n">
        <v>2330</v>
      </c>
      <c r="I157" s="124" t="n">
        <v>-1966.5</v>
      </c>
      <c r="J157" s="124" t="n">
        <v>363.5</v>
      </c>
      <c r="K157" s="123" t="s">
        <v>488</v>
      </c>
    </row>
    <row r="158" customFormat="false" ht="13.5" hidden="false" customHeight="true" outlineLevel="0" collapsed="false">
      <c r="A158" s="94" t="s">
        <v>489</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490</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30468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491</v>
      </c>
    </row>
    <row r="2" customFormat="false" ht="15" hidden="false" customHeight="true" outlineLevel="0" collapsed="false">
      <c r="A2" s="72" t="s">
        <v>492</v>
      </c>
    </row>
    <row r="3" customFormat="false" ht="15" hidden="false" customHeight="true" outlineLevel="0" collapsed="false">
      <c r="A3" s="109"/>
    </row>
    <row r="4" customFormat="false" ht="19.5" hidden="false" customHeight="true" outlineLevel="0" collapsed="false">
      <c r="A4" s="94" t="s">
        <v>493</v>
      </c>
    </row>
    <row r="5" customFormat="false" ht="15" hidden="false" customHeight="true" outlineLevel="0" collapsed="false">
      <c r="A5" s="72" t="s">
        <v>494</v>
      </c>
    </row>
    <row r="6" customFormat="false" ht="15" hidden="false" customHeight="true" outlineLevel="0" collapsed="false">
      <c r="A6" s="110"/>
      <c r="B6" s="110" t="s">
        <v>495</v>
      </c>
      <c r="C6" s="110" t="s">
        <v>372</v>
      </c>
      <c r="D6" s="110" t="s">
        <v>373</v>
      </c>
      <c r="E6" s="110" t="s">
        <v>496</v>
      </c>
      <c r="F6" s="110" t="s">
        <v>375</v>
      </c>
      <c r="G6" s="110" t="s">
        <v>376</v>
      </c>
    </row>
    <row r="7" customFormat="false" ht="15" hidden="false" customHeight="true" outlineLevel="0" collapsed="false">
      <c r="A7" s="112" t="s">
        <v>378</v>
      </c>
    </row>
    <row r="8" customFormat="false" ht="15" hidden="false" customHeight="true" outlineLevel="0" collapsed="false">
      <c r="A8" s="109" t="s">
        <v>379</v>
      </c>
      <c r="B8" s="113" t="n">
        <f aca="false">SUM('Reforecast Q1 2026'!$C$81:$N$81)</f>
        <v>472791.64</v>
      </c>
      <c r="C8" s="113" t="n">
        <f aca="false">SUM(Model!$B$261:$M$261)</f>
        <v>911172.31</v>
      </c>
      <c r="D8" s="113" t="n">
        <f aca="false">C8-B8</f>
        <v>438380.67</v>
      </c>
      <c r="E8" s="113" t="n">
        <f aca="false">AM105</f>
        <v>363197.89</v>
      </c>
      <c r="F8" s="113" t="n">
        <f aca="false">AL105</f>
        <v>803678.56</v>
      </c>
      <c r="G8" s="113" t="n">
        <f aca="false">F8-E8</f>
        <v>440480.67</v>
      </c>
    </row>
    <row r="9" customFormat="false" ht="15" hidden="false" customHeight="true" outlineLevel="0" collapsed="false">
      <c r="A9" s="109" t="s">
        <v>381</v>
      </c>
      <c r="B9" s="113" t="n">
        <f aca="false">SUM('Reforecast Q1 2026'!$C$112:$N$112)</f>
        <v>-1331271.005</v>
      </c>
      <c r="C9" s="113" t="n">
        <f aca="false">SUM(Model!$B$292:$M$292)</f>
        <v>-2431727.65</v>
      </c>
      <c r="D9" s="113" t="n">
        <f aca="false">C9-B9</f>
        <v>-1100456.645</v>
      </c>
      <c r="E9" s="113" t="n">
        <f aca="false">AM136</f>
        <v>-1097000.73</v>
      </c>
      <c r="F9" s="113" t="n">
        <f aca="false">AL136</f>
        <v>-1889927.29</v>
      </c>
      <c r="G9" s="113" t="n">
        <f aca="false">F9-E9</f>
        <v>-792926.560000001</v>
      </c>
    </row>
    <row r="10" customFormat="false" ht="15" hidden="false" customHeight="true" outlineLevel="0" collapsed="false">
      <c r="A10" s="115" t="s">
        <v>140</v>
      </c>
      <c r="B10" s="116" t="n">
        <f aca="false">SUM('Reforecast Q1 2026'!$C$114:$N$114)</f>
        <v>-858479.364999999</v>
      </c>
      <c r="C10" s="116" t="n">
        <f aca="false">SUM(Model!$B$293:$M$293)</f>
        <v>-1520555.34</v>
      </c>
      <c r="D10" s="116" t="n">
        <f aca="false">C10-B10</f>
        <v>-662075.975000001</v>
      </c>
      <c r="E10" s="116" t="n">
        <f aca="false">AM138</f>
        <v>-733802.84</v>
      </c>
      <c r="F10" s="116" t="n">
        <f aca="false">AL138</f>
        <v>-1035411.69</v>
      </c>
      <c r="G10" s="116" t="n">
        <f aca="false">F10-E10</f>
        <v>-301608.85</v>
      </c>
    </row>
    <row r="11" customFormat="false" ht="15" hidden="false" customHeight="true" outlineLevel="0" collapsed="false">
      <c r="A11" s="112" t="s">
        <v>384</v>
      </c>
    </row>
    <row r="12" customFormat="false" ht="15" hidden="false" customHeight="true" outlineLevel="0" collapsed="false">
      <c r="A12" s="109" t="s">
        <v>385</v>
      </c>
      <c r="B12" s="113" t="n">
        <f aca="false">SUM('Reforecast Q1 2026'!$C$8:$N$11)</f>
        <v>6567424.1605258</v>
      </c>
      <c r="C12" s="113" t="n">
        <f aca="false">SUM(Model!$B$10:$M$11)</f>
        <v>6318146.89</v>
      </c>
      <c r="D12" s="113" t="n">
        <f aca="false">C12-B12</f>
        <v>-249277.270525798</v>
      </c>
      <c r="E12" s="113" t="n">
        <f aca="false">SUM(AM32:AM35)</f>
        <v>4098370.45772654</v>
      </c>
      <c r="F12" s="113" t="n">
        <f aca="false">SUM(AL32:AL35)</f>
        <v>4444917.71</v>
      </c>
      <c r="G12" s="113" t="n">
        <f aca="false">F12-E12</f>
        <v>346547.252273462</v>
      </c>
    </row>
    <row r="13" customFormat="false" ht="15" hidden="false" customHeight="true" outlineLevel="0" collapsed="false">
      <c r="A13" s="109" t="s">
        <v>387</v>
      </c>
      <c r="B13" s="113" t="n">
        <f aca="false">SUM('Reforecast Q1 2026'!$C$12:$N$12)+SUM('Reforecast Q1 2026'!$C$14:$N$14)</f>
        <v>-29723.3403436914</v>
      </c>
      <c r="C13" s="113" t="n">
        <f aca="false">SUM(Model!$B$57:$M$57)+SUM(Model!$B$104:$M$104)+SUM(Model!$B$197:$M$198)</f>
        <v>156578.910000003</v>
      </c>
      <c r="D13" s="113" t="n">
        <f aca="false">C13-B13</f>
        <v>186302.250343695</v>
      </c>
      <c r="E13" s="113" t="n">
        <f aca="false">AM36+AM38</f>
        <v>-29723.3392681703</v>
      </c>
      <c r="F13" s="113" t="n">
        <f aca="false">AL36+AL38</f>
        <v>542520.770000003</v>
      </c>
      <c r="G13" s="113" t="n">
        <f aca="false">F13-E13</f>
        <v>572244.109268174</v>
      </c>
    </row>
    <row r="14" customFormat="false" ht="15" hidden="false" customHeight="true" outlineLevel="0" collapsed="false">
      <c r="A14" s="109" t="s">
        <v>389</v>
      </c>
      <c r="B14" s="113" t="n">
        <f aca="false">SUM('Reforecast Q1 2026'!$C$15:$N$16)</f>
        <v>710172.5608</v>
      </c>
      <c r="C14" s="113" t="n">
        <f aca="false">SUM(Model!$B$196:$M$196)</f>
        <v>-391167.79225</v>
      </c>
      <c r="D14" s="113" t="n">
        <f aca="false">C14-B14</f>
        <v>-1101340.35305</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6083558.00775</v>
      </c>
      <c r="D15" s="116" t="n">
        <f aca="false">C15-B15</f>
        <v>-1164315.37323211</v>
      </c>
      <c r="E15" s="116" t="n">
        <f aca="false">AM41</f>
        <v>4393240.82325837</v>
      </c>
      <c r="F15" s="116" t="n">
        <f aca="false">AL41</f>
        <v>4987438.48</v>
      </c>
      <c r="G15" s="116" t="n">
        <f aca="false">F15-E15</f>
        <v>594197.656741633</v>
      </c>
    </row>
    <row r="16" customFormat="false" ht="15" hidden="false" customHeight="true" outlineLevel="0" collapsed="false">
      <c r="A16" s="109" t="s">
        <v>392</v>
      </c>
      <c r="B16" s="113" t="n">
        <f aca="false">SUM('Reforecast Q1 2026'!$C$55:$N$55)</f>
        <v>-5233737.90833333</v>
      </c>
      <c r="C16" s="113" t="n">
        <f aca="false">SUM(Model!$B$236:$M$236)</f>
        <v>-4091637.219</v>
      </c>
      <c r="D16" s="113" t="n">
        <f aca="false">C16-B16</f>
        <v>1142100.68933333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1991920.78875</v>
      </c>
      <c r="D17" s="116" t="n">
        <f aca="false">C17-B17</f>
        <v>-22214.6942424437</v>
      </c>
      <c r="E17" s="116" t="n">
        <f aca="false">AM81</f>
        <v>773871.349193196</v>
      </c>
      <c r="F17" s="116" t="n">
        <f aca="false">AL81</f>
        <v>2192384.15</v>
      </c>
      <c r="G17" s="116" t="n">
        <f aca="false">F17-E17</f>
        <v>1418512.80080681</v>
      </c>
    </row>
    <row r="18" customFormat="false" ht="15" hidden="false" customHeight="true" outlineLevel="0" collapsed="false">
      <c r="A18" s="115" t="s">
        <v>395</v>
      </c>
      <c r="B18" s="117" t="n">
        <f aca="false">B10+B17</f>
        <v>1155656.11799245</v>
      </c>
      <c r="C18" s="117" t="n">
        <f aca="false">SUM(Model!$B$308:$M$308)</f>
        <v>474689.637400002</v>
      </c>
      <c r="D18" s="117" t="n">
        <f aca="false">C18-B18</f>
        <v>-680966.480592444</v>
      </c>
      <c r="E18" s="117" t="n">
        <f aca="false">E10+E17</f>
        <v>40068.5091931968</v>
      </c>
      <c r="F18" s="117" t="n">
        <f aca="false">AL141</f>
        <v>1156972.46</v>
      </c>
      <c r="G18" s="117" t="n">
        <f aca="false">F18-E18</f>
        <v>1116903.9508068</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-682282.822599999</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497</v>
      </c>
      <c r="D29" s="110" t="s">
        <v>373</v>
      </c>
      <c r="E29" s="110" t="s">
        <v>404</v>
      </c>
      <c r="F29" s="110" t="s">
        <v>497</v>
      </c>
      <c r="G29" s="110" t="s">
        <v>373</v>
      </c>
      <c r="H29" s="110" t="s">
        <v>404</v>
      </c>
      <c r="I29" s="110" t="s">
        <v>497</v>
      </c>
      <c r="J29" s="110" t="s">
        <v>373</v>
      </c>
      <c r="K29" s="110" t="s">
        <v>404</v>
      </c>
      <c r="L29" s="110" t="s">
        <v>497</v>
      </c>
      <c r="M29" s="110" t="s">
        <v>373</v>
      </c>
      <c r="N29" s="110" t="s">
        <v>404</v>
      </c>
      <c r="O29" s="110" t="s">
        <v>497</v>
      </c>
      <c r="P29" s="110" t="s">
        <v>373</v>
      </c>
      <c r="Q29" s="110" t="s">
        <v>404</v>
      </c>
      <c r="R29" s="110" t="s">
        <v>497</v>
      </c>
      <c r="S29" s="110" t="s">
        <v>373</v>
      </c>
      <c r="T29" s="110" t="s">
        <v>404</v>
      </c>
      <c r="U29" s="110" t="s">
        <v>497</v>
      </c>
      <c r="V29" s="110" t="s">
        <v>373</v>
      </c>
      <c r="W29" s="110" t="s">
        <v>404</v>
      </c>
      <c r="X29" s="110" t="s">
        <v>497</v>
      </c>
      <c r="Y29" s="110" t="s">
        <v>373</v>
      </c>
      <c r="Z29" s="110" t="s">
        <v>404</v>
      </c>
      <c r="AA29" s="110" t="s">
        <v>497</v>
      </c>
      <c r="AB29" s="110" t="s">
        <v>373</v>
      </c>
      <c r="AC29" s="110" t="s">
        <v>404</v>
      </c>
      <c r="AD29" s="110" t="s">
        <v>497</v>
      </c>
      <c r="AE29" s="110" t="s">
        <v>373</v>
      </c>
      <c r="AF29" s="110" t="s">
        <v>404</v>
      </c>
      <c r="AG29" s="110" t="s">
        <v>497</v>
      </c>
      <c r="AH29" s="110" t="s">
        <v>373</v>
      </c>
      <c r="AI29" s="110" t="s">
        <v>404</v>
      </c>
      <c r="AJ29" s="110" t="s">
        <v>497</v>
      </c>
      <c r="AK29" s="110" t="s">
        <v>373</v>
      </c>
      <c r="AL29" s="110" t="s">
        <v>404</v>
      </c>
      <c r="AM29" s="110" t="s">
        <v>497</v>
      </c>
      <c r="AN29" s="110" t="s">
        <v>373</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354</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355</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356</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413</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415</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123</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124</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359</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360</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361</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362</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363</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364</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123</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124</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125</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126</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127</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128</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129</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130</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131</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132</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133</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134</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365</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140</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row>
    <row r="143" customFormat="false" ht="15" hidden="false" customHeight="true" outlineLevel="0" collapsed="false">
      <c r="A143" s="115" t="s">
        <v>466</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498</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405</v>
      </c>
      <c r="C5" s="128" t="s">
        <v>404</v>
      </c>
      <c r="D5" s="128" t="s">
        <v>513</v>
      </c>
      <c r="E5" s="128" t="s">
        <v>514</v>
      </c>
      <c r="F5" s="128" t="s">
        <v>405</v>
      </c>
      <c r="G5" s="128" t="s">
        <v>404</v>
      </c>
      <c r="H5" s="128" t="s">
        <v>513</v>
      </c>
      <c r="I5" s="128" t="s">
        <v>514</v>
      </c>
      <c r="J5" s="128" t="s">
        <v>405</v>
      </c>
      <c r="K5" s="128" t="s">
        <v>404</v>
      </c>
      <c r="L5" s="128" t="s">
        <v>513</v>
      </c>
      <c r="M5" s="128" t="s">
        <v>514</v>
      </c>
      <c r="N5" s="128" t="s">
        <v>405</v>
      </c>
      <c r="O5" s="128" t="s">
        <v>404</v>
      </c>
      <c r="P5" s="128" t="s">
        <v>513</v>
      </c>
      <c r="Q5" s="128" t="s">
        <v>514</v>
      </c>
      <c r="R5" s="128" t="s">
        <v>405</v>
      </c>
      <c r="S5" s="128" t="s">
        <v>404</v>
      </c>
      <c r="T5" s="128" t="s">
        <v>513</v>
      </c>
      <c r="U5" s="128" t="s">
        <v>514</v>
      </c>
      <c r="V5" s="128" t="s">
        <v>405</v>
      </c>
      <c r="W5" s="128" t="s">
        <v>404</v>
      </c>
      <c r="X5" s="128" t="s">
        <v>513</v>
      </c>
      <c r="Y5" s="128" t="s">
        <v>514</v>
      </c>
      <c r="Z5" s="128" t="s">
        <v>405</v>
      </c>
      <c r="AA5" s="128" t="s">
        <v>404</v>
      </c>
      <c r="AB5" s="128" t="s">
        <v>513</v>
      </c>
      <c r="AC5" s="128" t="s">
        <v>514</v>
      </c>
      <c r="AD5" s="128" t="s">
        <v>405</v>
      </c>
      <c r="AE5" s="128" t="s">
        <v>404</v>
      </c>
      <c r="AF5" s="128" t="s">
        <v>513</v>
      </c>
      <c r="AG5" s="128" t="s">
        <v>514</v>
      </c>
      <c r="AH5" s="128" t="s">
        <v>405</v>
      </c>
      <c r="AI5" s="128" t="s">
        <v>404</v>
      </c>
      <c r="AJ5" s="128" t="s">
        <v>513</v>
      </c>
      <c r="AK5" s="128" t="s">
        <v>514</v>
      </c>
      <c r="AL5" s="128" t="s">
        <v>405</v>
      </c>
      <c r="AM5" s="128" t="s">
        <v>404</v>
      </c>
      <c r="AN5" s="128" t="s">
        <v>513</v>
      </c>
      <c r="AO5" s="128" t="s">
        <v>514</v>
      </c>
      <c r="AP5" s="128" t="s">
        <v>405</v>
      </c>
      <c r="AQ5" s="128" t="s">
        <v>404</v>
      </c>
      <c r="AR5" s="128" t="s">
        <v>513</v>
      </c>
      <c r="AS5" s="128" t="s">
        <v>514</v>
      </c>
      <c r="AT5" s="128" t="s">
        <v>405</v>
      </c>
      <c r="AU5" s="128" t="s">
        <v>404</v>
      </c>
      <c r="AV5" s="128" t="s">
        <v>513</v>
      </c>
      <c r="AW5" s="128" t="s">
        <v>514</v>
      </c>
      <c r="AX5" s="129" t="s">
        <v>374</v>
      </c>
      <c r="AY5" s="129" t="s">
        <v>375</v>
      </c>
      <c r="AZ5" s="129" t="s">
        <v>515</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354</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355</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356</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413</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415</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123</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124</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516</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517</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360</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361</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362</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363</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364</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123</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124</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125</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126</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127</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128</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129</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130</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131</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132</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133</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134</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135</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136</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137</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138</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519</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497</v>
      </c>
      <c r="C5" s="128" t="s">
        <v>404</v>
      </c>
      <c r="D5" s="128" t="s">
        <v>513</v>
      </c>
      <c r="E5" s="128" t="s">
        <v>514</v>
      </c>
      <c r="F5" s="128" t="s">
        <v>497</v>
      </c>
      <c r="G5" s="128" t="s">
        <v>404</v>
      </c>
      <c r="H5" s="128" t="s">
        <v>513</v>
      </c>
      <c r="I5" s="128" t="s">
        <v>514</v>
      </c>
      <c r="J5" s="128" t="s">
        <v>497</v>
      </c>
      <c r="K5" s="128" t="s">
        <v>404</v>
      </c>
      <c r="L5" s="128" t="s">
        <v>513</v>
      </c>
      <c r="M5" s="128" t="s">
        <v>514</v>
      </c>
      <c r="N5" s="128" t="s">
        <v>497</v>
      </c>
      <c r="O5" s="128" t="s">
        <v>404</v>
      </c>
      <c r="P5" s="128" t="s">
        <v>513</v>
      </c>
      <c r="Q5" s="128" t="s">
        <v>514</v>
      </c>
      <c r="R5" s="128" t="s">
        <v>497</v>
      </c>
      <c r="S5" s="128" t="s">
        <v>404</v>
      </c>
      <c r="T5" s="128" t="s">
        <v>513</v>
      </c>
      <c r="U5" s="128" t="s">
        <v>514</v>
      </c>
      <c r="V5" s="128" t="s">
        <v>497</v>
      </c>
      <c r="W5" s="128" t="s">
        <v>404</v>
      </c>
      <c r="X5" s="128" t="s">
        <v>513</v>
      </c>
      <c r="Y5" s="128" t="s">
        <v>514</v>
      </c>
      <c r="Z5" s="128" t="s">
        <v>497</v>
      </c>
      <c r="AA5" s="128" t="s">
        <v>404</v>
      </c>
      <c r="AB5" s="128" t="s">
        <v>513</v>
      </c>
      <c r="AC5" s="128" t="s">
        <v>514</v>
      </c>
      <c r="AD5" s="128" t="s">
        <v>497</v>
      </c>
      <c r="AE5" s="128" t="s">
        <v>404</v>
      </c>
      <c r="AF5" s="128" t="s">
        <v>513</v>
      </c>
      <c r="AG5" s="128" t="s">
        <v>514</v>
      </c>
      <c r="AH5" s="128" t="s">
        <v>497</v>
      </c>
      <c r="AI5" s="128" t="s">
        <v>404</v>
      </c>
      <c r="AJ5" s="128" t="s">
        <v>513</v>
      </c>
      <c r="AK5" s="128" t="s">
        <v>514</v>
      </c>
      <c r="AL5" s="128" t="s">
        <v>497</v>
      </c>
      <c r="AM5" s="128" t="s">
        <v>404</v>
      </c>
      <c r="AN5" s="128" t="s">
        <v>513</v>
      </c>
      <c r="AO5" s="128" t="s">
        <v>514</v>
      </c>
      <c r="AP5" s="128" t="s">
        <v>497</v>
      </c>
      <c r="AQ5" s="128" t="s">
        <v>404</v>
      </c>
      <c r="AR5" s="128" t="s">
        <v>513</v>
      </c>
      <c r="AS5" s="128" t="s">
        <v>514</v>
      </c>
      <c r="AT5" s="128" t="s">
        <v>497</v>
      </c>
      <c r="AU5" s="128" t="s">
        <v>404</v>
      </c>
      <c r="AV5" s="128" t="s">
        <v>513</v>
      </c>
      <c r="AW5" s="128" t="s">
        <v>514</v>
      </c>
      <c r="AX5" s="129" t="s">
        <v>374</v>
      </c>
      <c r="AY5" s="129" t="s">
        <v>375</v>
      </c>
      <c r="AZ5" s="129" t="s">
        <v>515</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354</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355</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356</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413</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415</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123</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124</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516</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517</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360</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361</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362</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363</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364</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123</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124</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125</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126</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127</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128</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129</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130</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131</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132</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133</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134</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135</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136</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137</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138</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520</v>
      </c>
    </row>
    <row r="2" customFormat="false" ht="15" hidden="false" customHeight="true" outlineLevel="0" collapsed="false">
      <c r="A2" s="72" t="s">
        <v>521</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354</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522</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355</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356</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413</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415</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123</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124</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517</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360</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361</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362</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363</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364</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123</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124</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125</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126</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127</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128</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129</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130</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131</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132</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133</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134</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135</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136</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137</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138</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139</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140</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523</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524</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525</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526</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527</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528</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1" width="58"/>
    <col collapsed="false" customWidth="true" hidden="false" outlineLevel="0" max="2" min="2" style="1" width="9"/>
    <col collapsed="false" customWidth="true" hidden="false" outlineLevel="0" max="15" min="3" style="1" width="11.51"/>
  </cols>
  <sheetData>
    <row r="1" customFormat="false" ht="17.25" hidden="false" customHeight="true" outlineLevel="0" collapsed="false">
      <c r="A1" s="145" t="s">
        <v>529</v>
      </c>
    </row>
    <row r="2" customFormat="false" ht="15" hidden="false" customHeight="true" outlineLevel="0" collapsed="false">
      <c r="A2" s="146" t="s">
        <v>530</v>
      </c>
    </row>
    <row r="3" customFormat="false" ht="15" hidden="false" customHeight="true" outlineLevel="0" collapsed="false">
      <c r="A3" s="147" t="s">
        <v>531</v>
      </c>
    </row>
    <row r="4" customFormat="false" ht="15" hidden="false" customHeight="true" outlineLevel="0" collapsed="false">
      <c r="A4" s="146" t="s">
        <v>1</v>
      </c>
      <c r="C4" s="146" t="n">
        <v>1</v>
      </c>
      <c r="D4" s="146" t="n">
        <v>2</v>
      </c>
      <c r="E4" s="146" t="n">
        <v>3</v>
      </c>
      <c r="F4" s="146" t="n">
        <v>4</v>
      </c>
      <c r="G4" s="146" t="n">
        <v>5</v>
      </c>
      <c r="H4" s="146" t="n">
        <v>6</v>
      </c>
      <c r="I4" s="146" t="n">
        <v>7</v>
      </c>
      <c r="J4" s="146" t="n">
        <v>8</v>
      </c>
      <c r="K4" s="146" t="n">
        <v>9</v>
      </c>
      <c r="L4" s="146" t="n">
        <v>10</v>
      </c>
      <c r="M4" s="146" t="n">
        <v>11</v>
      </c>
      <c r="N4" s="146" t="n">
        <v>12</v>
      </c>
    </row>
    <row r="5" customFormat="false" ht="15" hidden="false" customHeight="true" outlineLevel="0" collapsed="false">
      <c r="A5" s="148" t="s">
        <v>532</v>
      </c>
      <c r="B5" s="148" t="s">
        <v>533</v>
      </c>
      <c r="C5" s="148" t="s">
        <v>534</v>
      </c>
      <c r="D5" s="148" t="s">
        <v>535</v>
      </c>
      <c r="E5" s="148" t="s">
        <v>536</v>
      </c>
      <c r="F5" s="148" t="s">
        <v>537</v>
      </c>
      <c r="G5" s="148" t="s">
        <v>538</v>
      </c>
      <c r="H5" s="148" t="s">
        <v>539</v>
      </c>
      <c r="I5" s="148" t="s">
        <v>540</v>
      </c>
      <c r="J5" s="148" t="s">
        <v>541</v>
      </c>
      <c r="K5" s="148" t="s">
        <v>542</v>
      </c>
      <c r="L5" s="148" t="s">
        <v>543</v>
      </c>
      <c r="M5" s="148" t="s">
        <v>544</v>
      </c>
      <c r="N5" s="148" t="s">
        <v>545</v>
      </c>
      <c r="O5" s="148" t="s">
        <v>546</v>
      </c>
    </row>
    <row r="6" customFormat="false" ht="15" hidden="false" customHeight="true" outlineLevel="0" collapsed="false">
      <c r="A6" s="149" t="s">
        <v>384</v>
      </c>
      <c r="B6" s="150"/>
      <c r="C6" s="150"/>
      <c r="D6" s="150"/>
      <c r="E6" s="150"/>
      <c r="F6" s="150"/>
      <c r="G6" s="150"/>
      <c r="H6" s="150"/>
      <c r="I6" s="150"/>
      <c r="J6" s="150"/>
      <c r="K6" s="150"/>
      <c r="L6" s="150"/>
      <c r="M6" s="150"/>
      <c r="N6" s="150"/>
      <c r="O6" s="150"/>
    </row>
    <row r="7" customFormat="false" ht="15" hidden="false" customHeight="true" outlineLevel="0" collapsed="false">
      <c r="A7" s="123" t="s">
        <v>4</v>
      </c>
      <c r="B7" s="146" t="n">
        <v>10</v>
      </c>
      <c r="C7" s="151" t="n">
        <v>413306.32</v>
      </c>
      <c r="D7" s="151" t="n">
        <v>423591.63</v>
      </c>
      <c r="E7" s="151" t="n">
        <v>443350.63</v>
      </c>
      <c r="F7" s="151" t="n">
        <v>490831.08</v>
      </c>
      <c r="G7" s="151" t="n">
        <v>515376.77</v>
      </c>
      <c r="H7" s="151" t="n">
        <v>680044.575957078</v>
      </c>
      <c r="I7" s="151" t="n">
        <v>733430.115957078</v>
      </c>
      <c r="J7" s="151" t="n">
        <v>670566.935957078</v>
      </c>
      <c r="K7" s="151" t="n">
        <v>744326.415957078</v>
      </c>
      <c r="L7" s="151" t="n">
        <v>747258.875957078</v>
      </c>
      <c r="M7" s="151" t="n">
        <v>829071.405957078</v>
      </c>
      <c r="N7" s="151" t="n">
        <v>726699.965957078</v>
      </c>
      <c r="O7" s="152" t="n">
        <f aca="false">SUM(C7:N7)</f>
        <v>7417854.72169955</v>
      </c>
    </row>
    <row r="8" customFormat="false" ht="15" hidden="false" customHeight="true" outlineLevel="0" collapsed="false">
      <c r="A8" s="123" t="s">
        <v>5</v>
      </c>
      <c r="B8" s="146" t="n">
        <v>11</v>
      </c>
      <c r="C8" s="151" t="n">
        <v>316162.67</v>
      </c>
      <c r="D8" s="151" t="n">
        <v>324551.22</v>
      </c>
      <c r="E8" s="151" t="n">
        <v>334137.12</v>
      </c>
      <c r="F8" s="151" t="n">
        <v>370122.32</v>
      </c>
      <c r="G8" s="151" t="n">
        <v>389762.56</v>
      </c>
      <c r="H8" s="151" t="n">
        <v>511137.053957721</v>
      </c>
      <c r="I8" s="151" t="n">
        <v>551466.503957721</v>
      </c>
      <c r="J8" s="151" t="n">
        <v>504589.23395772</v>
      </c>
      <c r="K8" s="151" t="n">
        <v>567918.57395772</v>
      </c>
      <c r="L8" s="151" t="n">
        <v>569291.41395772</v>
      </c>
      <c r="M8" s="151" t="n">
        <v>635174.56395772</v>
      </c>
      <c r="N8" s="151" t="n">
        <v>554019.08395772</v>
      </c>
      <c r="O8" s="152" t="n">
        <f aca="false">SUM(C8:N8)</f>
        <v>5628332.31770404</v>
      </c>
    </row>
    <row r="9" customFormat="false" ht="15" hidden="false" customHeight="true" outlineLevel="0" collapsed="false">
      <c r="A9" s="123" t="s">
        <v>51</v>
      </c>
      <c r="B9" s="146" t="n">
        <v>57</v>
      </c>
      <c r="C9" s="151" t="n">
        <v>4923945.33</v>
      </c>
      <c r="D9" s="151" t="n">
        <v>4988886.23</v>
      </c>
      <c r="E9" s="151" t="n">
        <v>5471649.52</v>
      </c>
      <c r="F9" s="151" t="n">
        <v>5829440.98</v>
      </c>
      <c r="G9" s="151" t="n">
        <v>6228355.36</v>
      </c>
      <c r="H9" s="151" t="n">
        <v>7593450.42098886</v>
      </c>
      <c r="I9" s="151" t="n">
        <v>8879149.30287641</v>
      </c>
      <c r="J9" s="151" t="n">
        <v>8644049.68368545</v>
      </c>
      <c r="K9" s="151" t="n">
        <v>9817663.58321595</v>
      </c>
      <c r="L9" s="151" t="n">
        <v>9704450.61805435</v>
      </c>
      <c r="M9" s="151" t="n">
        <v>11470962.7626209</v>
      </c>
      <c r="N9" s="151" t="n">
        <v>10700134.7808478</v>
      </c>
      <c r="O9" s="152" t="n">
        <f aca="false">SUM(C9:N9)</f>
        <v>94252138.5722897</v>
      </c>
    </row>
    <row r="10" customFormat="false" ht="15" hidden="false" customHeight="true" outlineLevel="0" collapsed="false">
      <c r="A10" s="123" t="s">
        <v>54</v>
      </c>
      <c r="B10" s="146" t="n">
        <v>104</v>
      </c>
      <c r="C10" s="151" t="n">
        <v>-4996341.37</v>
      </c>
      <c r="D10" s="151" t="n">
        <v>-5050706.1</v>
      </c>
      <c r="E10" s="151" t="n">
        <v>-5544285.39</v>
      </c>
      <c r="F10" s="151" t="n">
        <v>-5891772.49</v>
      </c>
      <c r="G10" s="151" t="n">
        <v>-6278773.51</v>
      </c>
      <c r="H10" s="151" t="n">
        <v>-7644129.83098886</v>
      </c>
      <c r="I10" s="151" t="n">
        <v>-8940192.5128764</v>
      </c>
      <c r="J10" s="151" t="n">
        <v>-8699196.09368545</v>
      </c>
      <c r="K10" s="151" t="n">
        <v>-9838028.19321595</v>
      </c>
      <c r="L10" s="151" t="n">
        <v>-9706777.00805435</v>
      </c>
      <c r="M10" s="151" t="n">
        <v>-11469923.3026208</v>
      </c>
      <c r="N10" s="151" t="n">
        <v>-10699484.6008478</v>
      </c>
      <c r="O10" s="152" t="n">
        <f aca="false">SUM(C10:N10)</f>
        <v>-94759610.4022896</v>
      </c>
    </row>
    <row r="11" customFormat="false" ht="15" hidden="false" customHeight="true" outlineLevel="0" collapsed="false">
      <c r="A11" s="123" t="s">
        <v>58</v>
      </c>
      <c r="B11" s="146" t="n">
        <v>196</v>
      </c>
      <c r="C11" s="151" t="n">
        <v>0</v>
      </c>
      <c r="D11" s="151" t="n">
        <v>0</v>
      </c>
      <c r="E11" s="151" t="n">
        <v>0</v>
      </c>
      <c r="F11" s="151" t="n">
        <v>-332539.87</v>
      </c>
      <c r="G11" s="151" t="n">
        <v>-204464.98</v>
      </c>
      <c r="H11" s="151" t="n">
        <v>-583586.3</v>
      </c>
      <c r="I11" s="151" t="n">
        <v>0</v>
      </c>
      <c r="J11" s="151" t="n">
        <v>0</v>
      </c>
      <c r="K11" s="151" t="n">
        <v>-251994.15</v>
      </c>
      <c r="L11" s="151" t="n">
        <v>-242893.28</v>
      </c>
      <c r="M11" s="151" t="n">
        <v>0</v>
      </c>
      <c r="N11" s="151" t="n">
        <v>0</v>
      </c>
      <c r="O11" s="152" t="n">
        <f aca="false">SUM(C11:N11)</f>
        <v>-1615478.58</v>
      </c>
    </row>
    <row r="12" customFormat="false" ht="15" hidden="false" customHeight="true" outlineLevel="0" collapsed="false">
      <c r="A12" s="123" t="s">
        <v>59</v>
      </c>
      <c r="B12" s="146" t="n">
        <v>197</v>
      </c>
      <c r="C12" s="151" t="n">
        <v>-454.04</v>
      </c>
      <c r="D12" s="151" t="n">
        <v>-443.06</v>
      </c>
      <c r="E12" s="151" t="n">
        <v>-497.34</v>
      </c>
      <c r="F12" s="151" t="n">
        <v>-481.05</v>
      </c>
      <c r="G12" s="151" t="n">
        <v>-524.1</v>
      </c>
      <c r="H12" s="151" t="n">
        <v>-508.89</v>
      </c>
      <c r="I12" s="151" t="n">
        <v>-647.4</v>
      </c>
      <c r="J12" s="151" t="n">
        <v>-505.81</v>
      </c>
      <c r="K12" s="151" t="n">
        <v>-909.9</v>
      </c>
      <c r="L12" s="151" t="n">
        <v>-641.89</v>
      </c>
      <c r="M12" s="151" t="n">
        <v>-1039.46</v>
      </c>
      <c r="N12" s="151" t="n">
        <v>-650.18</v>
      </c>
      <c r="O12" s="152" t="n">
        <f aca="false">SUM(C12:N12)</f>
        <v>-7303.12</v>
      </c>
    </row>
    <row r="13" customFormat="false" ht="15" hidden="false" customHeight="true" outlineLevel="0" collapsed="false">
      <c r="A13" s="123" t="s">
        <v>60</v>
      </c>
      <c r="B13" s="146" t="n">
        <v>198</v>
      </c>
      <c r="C13" s="151" t="n">
        <v>0</v>
      </c>
      <c r="D13" s="151" t="n">
        <v>0</v>
      </c>
      <c r="E13" s="151" t="n">
        <v>0</v>
      </c>
      <c r="F13" s="151" t="n">
        <v>0</v>
      </c>
      <c r="G13" s="151" t="n">
        <v>0</v>
      </c>
      <c r="H13" s="151" t="n">
        <v>0</v>
      </c>
      <c r="I13" s="151" t="n">
        <v>0</v>
      </c>
      <c r="J13" s="151" t="n">
        <v>0</v>
      </c>
      <c r="K13" s="151" t="n">
        <v>0</v>
      </c>
      <c r="L13" s="151" t="n">
        <v>0</v>
      </c>
      <c r="M13" s="151" t="n">
        <v>0</v>
      </c>
      <c r="N13" s="151" t="n">
        <v>0</v>
      </c>
      <c r="O13" s="152" t="n">
        <f aca="false">SUM(C13:N13)</f>
        <v>0</v>
      </c>
    </row>
    <row r="14" customFormat="false" ht="15" hidden="false" customHeight="true" outlineLevel="0" collapsed="false">
      <c r="A14" s="153" t="s">
        <v>61</v>
      </c>
      <c r="B14" s="146" t="n">
        <v>199</v>
      </c>
      <c r="C14" s="154" t="n">
        <v>656618.91</v>
      </c>
      <c r="D14" s="154" t="n">
        <v>685879.92</v>
      </c>
      <c r="E14" s="154" t="n">
        <v>704354.54</v>
      </c>
      <c r="F14" s="154" t="n">
        <v>465600.97</v>
      </c>
      <c r="G14" s="154" t="n">
        <v>649732.11</v>
      </c>
      <c r="H14" s="154" t="n">
        <v>556407.029914797</v>
      </c>
      <c r="I14" s="154" t="n">
        <v>1223206.0099148</v>
      </c>
      <c r="J14" s="154" t="n">
        <v>1119503.9499148</v>
      </c>
      <c r="K14" s="154" t="n">
        <v>1038976.3199148</v>
      </c>
      <c r="L14" s="154" t="n">
        <v>1070688.72991479</v>
      </c>
      <c r="M14" s="154" t="n">
        <v>1464245.9599148</v>
      </c>
      <c r="N14" s="154" t="n">
        <v>1280719.0399148</v>
      </c>
      <c r="O14" s="154" t="n">
        <f aca="false">SUM(C14:N14)</f>
        <v>10915933.4894036</v>
      </c>
    </row>
    <row r="15" customFormat="false" ht="15" hidden="false" customHeight="true" outlineLevel="0" collapsed="false">
      <c r="A15" s="123" t="s">
        <v>64</v>
      </c>
      <c r="B15" s="146" t="n">
        <v>203</v>
      </c>
      <c r="C15" s="151" t="n">
        <v>-270881</v>
      </c>
      <c r="D15" s="151" t="n">
        <v>-281297.67</v>
      </c>
      <c r="E15" s="151" t="n">
        <v>-281297.67</v>
      </c>
      <c r="F15" s="151" t="n">
        <v>-294631</v>
      </c>
      <c r="G15" s="151" t="n">
        <v>-318381</v>
      </c>
      <c r="H15" s="151" t="n">
        <v>-366297.67</v>
      </c>
      <c r="I15" s="151" t="n">
        <v>-366297.67</v>
      </c>
      <c r="J15" s="151" t="n">
        <v>-366297.67</v>
      </c>
      <c r="K15" s="151" t="n">
        <v>-366297.67</v>
      </c>
      <c r="L15" s="151" t="n">
        <v>-415880.996666667</v>
      </c>
      <c r="M15" s="151" t="n">
        <v>-415880.996666667</v>
      </c>
      <c r="N15" s="151" t="n">
        <v>-615880.996666667</v>
      </c>
      <c r="O15" s="152" t="n">
        <f aca="false">SUM(C15:N15)</f>
        <v>-4359322.01</v>
      </c>
    </row>
    <row r="16" customFormat="false" ht="15" hidden="false" customHeight="true" outlineLevel="0" collapsed="false">
      <c r="A16" s="123" t="s">
        <v>65</v>
      </c>
      <c r="B16" s="146" t="n">
        <v>204</v>
      </c>
      <c r="C16" s="151" t="n">
        <v>-22797.09</v>
      </c>
      <c r="D16" s="151" t="n">
        <v>-23526.25</v>
      </c>
      <c r="E16" s="151" t="n">
        <v>-23526.25</v>
      </c>
      <c r="F16" s="151" t="n">
        <v>-24459.59</v>
      </c>
      <c r="G16" s="151" t="n">
        <v>-26122.09</v>
      </c>
      <c r="H16" s="151" t="n">
        <v>-29476.25</v>
      </c>
      <c r="I16" s="151" t="n">
        <v>-29476.25</v>
      </c>
      <c r="J16" s="151" t="n">
        <v>-29476.25</v>
      </c>
      <c r="K16" s="151" t="n">
        <v>-29476.25</v>
      </c>
      <c r="L16" s="151" t="n">
        <v>-32947.0866666667</v>
      </c>
      <c r="M16" s="151" t="n">
        <v>-32947.0866666667</v>
      </c>
      <c r="N16" s="151" t="n">
        <v>-32947.0866666667</v>
      </c>
      <c r="O16" s="152" t="n">
        <f aca="false">SUM(C16:N16)</f>
        <v>-337177.53</v>
      </c>
    </row>
    <row r="17" customFormat="false" ht="15" hidden="false" customHeight="true" outlineLevel="0" collapsed="false">
      <c r="A17" s="123" t="s">
        <v>66</v>
      </c>
      <c r="B17" s="146" t="n">
        <v>205</v>
      </c>
      <c r="C17" s="151" t="n">
        <v>0</v>
      </c>
      <c r="D17" s="151" t="n">
        <v>0</v>
      </c>
      <c r="E17" s="151" t="n">
        <v>0</v>
      </c>
      <c r="F17" s="151" t="n">
        <v>0</v>
      </c>
      <c r="G17" s="151" t="n">
        <v>0</v>
      </c>
      <c r="H17" s="151" t="n">
        <v>0</v>
      </c>
      <c r="I17" s="151" t="n">
        <v>0</v>
      </c>
      <c r="J17" s="151" t="n">
        <v>0</v>
      </c>
      <c r="K17" s="151" t="n">
        <v>0</v>
      </c>
      <c r="L17" s="151" t="n">
        <v>0</v>
      </c>
      <c r="M17" s="151" t="n">
        <v>0</v>
      </c>
      <c r="N17" s="151" t="n">
        <v>0</v>
      </c>
      <c r="O17" s="152" t="n">
        <f aca="false">SUM(C17:N17)</f>
        <v>0</v>
      </c>
    </row>
    <row r="18" customFormat="false" ht="15" hidden="false" customHeight="true" outlineLevel="0" collapsed="false">
      <c r="A18" s="123" t="s">
        <v>67</v>
      </c>
      <c r="B18" s="146" t="n">
        <v>206</v>
      </c>
      <c r="C18" s="151" t="n">
        <v>-11398.54</v>
      </c>
      <c r="D18" s="151" t="n">
        <v>-11763.13</v>
      </c>
      <c r="E18" s="151" t="n">
        <v>-11763.13</v>
      </c>
      <c r="F18" s="151" t="n">
        <v>-12229.79</v>
      </c>
      <c r="G18" s="151" t="n">
        <v>-13061.04</v>
      </c>
      <c r="H18" s="151" t="n">
        <v>-14738.13</v>
      </c>
      <c r="I18" s="151" t="n">
        <v>-14738.13</v>
      </c>
      <c r="J18" s="151" t="n">
        <v>-14738.13</v>
      </c>
      <c r="K18" s="151" t="n">
        <v>-14738.13</v>
      </c>
      <c r="L18" s="151" t="n">
        <v>-16473.5433333333</v>
      </c>
      <c r="M18" s="151" t="n">
        <v>-16473.5433333333</v>
      </c>
      <c r="N18" s="151" t="n">
        <v>-16473.5433333333</v>
      </c>
      <c r="O18" s="152" t="n">
        <f aca="false">SUM(C18:N18)</f>
        <v>-168588.78</v>
      </c>
    </row>
    <row r="19" customFormat="false" ht="15" hidden="false" customHeight="true" outlineLevel="0" collapsed="false">
      <c r="A19" s="123" t="s">
        <v>68</v>
      </c>
      <c r="B19" s="146" t="n">
        <v>207</v>
      </c>
      <c r="C19" s="151" t="n">
        <v>-977.02</v>
      </c>
      <c r="D19" s="151" t="n">
        <v>-1008.27</v>
      </c>
      <c r="E19" s="151" t="n">
        <v>-1008.27</v>
      </c>
      <c r="F19" s="151" t="n">
        <v>-1048.27</v>
      </c>
      <c r="G19" s="151" t="n">
        <v>-1119.52</v>
      </c>
      <c r="H19" s="151" t="n">
        <v>-1263.27</v>
      </c>
      <c r="I19" s="151" t="n">
        <v>-1263.27</v>
      </c>
      <c r="J19" s="151" t="n">
        <v>-1263.27</v>
      </c>
      <c r="K19" s="151" t="n">
        <v>-1263.27</v>
      </c>
      <c r="L19" s="151" t="n">
        <v>-1412.02</v>
      </c>
      <c r="M19" s="151" t="n">
        <v>-1412.02</v>
      </c>
      <c r="N19" s="151" t="n">
        <v>-1412.02</v>
      </c>
      <c r="O19" s="152" t="n">
        <f aca="false">SUM(C19:N19)</f>
        <v>-14450.49</v>
      </c>
    </row>
    <row r="20" customFormat="false" ht="15" hidden="false" customHeight="true" outlineLevel="0" collapsed="false">
      <c r="A20" s="123" t="s">
        <v>69</v>
      </c>
      <c r="B20" s="146" t="n">
        <v>208</v>
      </c>
      <c r="C20" s="151" t="n">
        <v>-1628.36</v>
      </c>
      <c r="D20" s="151" t="n">
        <v>-1680.45</v>
      </c>
      <c r="E20" s="151" t="n">
        <v>-1680.45</v>
      </c>
      <c r="F20" s="151" t="n">
        <v>-1747.11</v>
      </c>
      <c r="G20" s="151" t="n">
        <v>-1865.86</v>
      </c>
      <c r="H20" s="151" t="n">
        <v>-2105.45</v>
      </c>
      <c r="I20" s="151" t="n">
        <v>-2105.45</v>
      </c>
      <c r="J20" s="151" t="n">
        <v>-2105.45</v>
      </c>
      <c r="K20" s="151" t="n">
        <v>-2105.45</v>
      </c>
      <c r="L20" s="151" t="n">
        <v>-2353.36333333333</v>
      </c>
      <c r="M20" s="151" t="n">
        <v>-2353.36333333333</v>
      </c>
      <c r="N20" s="151" t="n">
        <v>-2353.36333333333</v>
      </c>
      <c r="O20" s="152" t="n">
        <f aca="false">SUM(C20:N20)</f>
        <v>-24084.12</v>
      </c>
    </row>
    <row r="21" customFormat="false" ht="15" hidden="false" customHeight="true" outlineLevel="0" collapsed="false">
      <c r="A21" s="123" t="s">
        <v>70</v>
      </c>
      <c r="B21" s="146" t="n">
        <v>209</v>
      </c>
      <c r="C21" s="151" t="n">
        <v>-16666.67</v>
      </c>
      <c r="D21" s="151" t="n">
        <v>-16666.67</v>
      </c>
      <c r="E21" s="151" t="n">
        <v>-16666.67</v>
      </c>
      <c r="F21" s="151" t="n">
        <v>-16666.67</v>
      </c>
      <c r="G21" s="151" t="n">
        <v>-16666.67</v>
      </c>
      <c r="H21" s="151" t="n">
        <v>-16666.67</v>
      </c>
      <c r="I21" s="151" t="n">
        <v>-16666.67</v>
      </c>
      <c r="J21" s="151" t="n">
        <v>-16666.67</v>
      </c>
      <c r="K21" s="151" t="n">
        <v>-16666.67</v>
      </c>
      <c r="L21" s="151" t="n">
        <v>-16666.67</v>
      </c>
      <c r="M21" s="151" t="n">
        <v>-16666.67</v>
      </c>
      <c r="N21" s="151" t="n">
        <v>-16666.67</v>
      </c>
      <c r="O21" s="152" t="n">
        <f aca="false">SUM(C21:N21)</f>
        <v>-200000.04</v>
      </c>
    </row>
    <row r="22" customFormat="false" ht="15" hidden="false" customHeight="true" outlineLevel="0" collapsed="false">
      <c r="A22" s="123" t="s">
        <v>71</v>
      </c>
      <c r="B22" s="146" t="n">
        <v>210</v>
      </c>
      <c r="C22" s="151" t="n">
        <v>0</v>
      </c>
      <c r="D22" s="151" t="n">
        <v>0</v>
      </c>
      <c r="E22" s="151" t="n">
        <v>0</v>
      </c>
      <c r="F22" s="151" t="n">
        <v>0</v>
      </c>
      <c r="G22" s="151" t="n">
        <v>0</v>
      </c>
      <c r="H22" s="151" t="n">
        <v>0</v>
      </c>
      <c r="I22" s="151" t="n">
        <v>0</v>
      </c>
      <c r="J22" s="151" t="n">
        <v>0</v>
      </c>
      <c r="K22" s="151" t="n">
        <v>0</v>
      </c>
      <c r="L22" s="151" t="n">
        <v>0</v>
      </c>
      <c r="M22" s="151" t="n">
        <v>0</v>
      </c>
      <c r="N22" s="151" t="n">
        <v>0</v>
      </c>
      <c r="O22" s="152" t="n">
        <f aca="false">SUM(C22:N22)</f>
        <v>0</v>
      </c>
    </row>
    <row r="23" customFormat="false" ht="15" hidden="false" customHeight="true" outlineLevel="0" collapsed="false">
      <c r="A23" s="123" t="s">
        <v>72</v>
      </c>
      <c r="B23" s="146" t="n">
        <v>211</v>
      </c>
      <c r="C23" s="151" t="n">
        <v>-15000</v>
      </c>
      <c r="D23" s="151" t="n">
        <v>-15000</v>
      </c>
      <c r="E23" s="151" t="n">
        <v>-15000</v>
      </c>
      <c r="F23" s="151" t="n">
        <v>-15000</v>
      </c>
      <c r="G23" s="151" t="n">
        <v>-15000</v>
      </c>
      <c r="H23" s="151" t="n">
        <v>-15000</v>
      </c>
      <c r="I23" s="151" t="n">
        <v>-15000</v>
      </c>
      <c r="J23" s="151" t="n">
        <v>-15000</v>
      </c>
      <c r="K23" s="151" t="n">
        <v>-15000</v>
      </c>
      <c r="L23" s="151" t="n">
        <v>-15000</v>
      </c>
      <c r="M23" s="151" t="n">
        <v>-15000</v>
      </c>
      <c r="N23" s="151" t="n">
        <v>-15000</v>
      </c>
      <c r="O23" s="152" t="n">
        <f aca="false">SUM(C23:N23)</f>
        <v>-180000</v>
      </c>
    </row>
    <row r="24" customFormat="false" ht="15" hidden="false" customHeight="true" outlineLevel="0" collapsed="false">
      <c r="A24" s="123" t="s">
        <v>73</v>
      </c>
      <c r="B24" s="146" t="n">
        <v>212</v>
      </c>
      <c r="C24" s="151" t="n">
        <v>-4024.64</v>
      </c>
      <c r="D24" s="151" t="n">
        <v>-4024.64</v>
      </c>
      <c r="E24" s="151" t="n">
        <v>-4024.64</v>
      </c>
      <c r="F24" s="151" t="n">
        <v>-4024.64</v>
      </c>
      <c r="G24" s="151" t="n">
        <v>-4024.64</v>
      </c>
      <c r="H24" s="151" t="n">
        <v>-4024.64</v>
      </c>
      <c r="I24" s="151" t="n">
        <v>-4024.64</v>
      </c>
      <c r="J24" s="151" t="n">
        <v>-4024.64</v>
      </c>
      <c r="K24" s="151" t="n">
        <v>-4024.64</v>
      </c>
      <c r="L24" s="151" t="n">
        <v>-4024.64</v>
      </c>
      <c r="M24" s="151" t="n">
        <v>-4024.64</v>
      </c>
      <c r="N24" s="151" t="n">
        <v>-4024.64</v>
      </c>
      <c r="O24" s="152" t="n">
        <f aca="false">SUM(C24:N24)</f>
        <v>-48295.68</v>
      </c>
    </row>
    <row r="25" customFormat="false" ht="15" hidden="false" customHeight="true" outlineLevel="0" collapsed="false">
      <c r="A25" s="123" t="s">
        <v>74</v>
      </c>
      <c r="B25" s="146" t="n">
        <v>213</v>
      </c>
      <c r="C25" s="151" t="n">
        <v>-359.13</v>
      </c>
      <c r="D25" s="151" t="n">
        <v>-359.13</v>
      </c>
      <c r="E25" s="151" t="n">
        <v>-359.13</v>
      </c>
      <c r="F25" s="151" t="n">
        <v>-359.13</v>
      </c>
      <c r="G25" s="151" t="n">
        <v>-359.13</v>
      </c>
      <c r="H25" s="151" t="n">
        <v>-359.13</v>
      </c>
      <c r="I25" s="151" t="n">
        <v>-359.13</v>
      </c>
      <c r="J25" s="151" t="n">
        <v>-359.13</v>
      </c>
      <c r="K25" s="151" t="n">
        <v>-359.13</v>
      </c>
      <c r="L25" s="151" t="n">
        <v>-359.13</v>
      </c>
      <c r="M25" s="151" t="n">
        <v>-359.13</v>
      </c>
      <c r="N25" s="151" t="n">
        <v>-359.13</v>
      </c>
      <c r="O25" s="152" t="n">
        <f aca="false">SUM(C25:N25)</f>
        <v>-4309.56</v>
      </c>
    </row>
    <row r="26" customFormat="false" ht="15" hidden="false" customHeight="true" outlineLevel="0" collapsed="false">
      <c r="A26" s="123" t="s">
        <v>75</v>
      </c>
      <c r="B26" s="146" t="n">
        <v>214</v>
      </c>
      <c r="C26" s="151" t="n">
        <v>-26.33</v>
      </c>
      <c r="D26" s="151" t="n">
        <v>-26.33</v>
      </c>
      <c r="E26" s="151" t="n">
        <v>-26.33</v>
      </c>
      <c r="F26" s="151" t="n">
        <v>-26.33</v>
      </c>
      <c r="G26" s="151" t="n">
        <v>-26.33</v>
      </c>
      <c r="H26" s="151" t="n">
        <v>-26.33</v>
      </c>
      <c r="I26" s="151" t="n">
        <v>-26.33</v>
      </c>
      <c r="J26" s="151" t="n">
        <v>-26.33</v>
      </c>
      <c r="K26" s="151" t="n">
        <v>-26.33</v>
      </c>
      <c r="L26" s="151" t="n">
        <v>-26.33</v>
      </c>
      <c r="M26" s="151" t="n">
        <v>-26.33</v>
      </c>
      <c r="N26" s="151" t="n">
        <v>-26.33</v>
      </c>
      <c r="O26" s="152" t="n">
        <f aca="false">SUM(C26:N26)</f>
        <v>-315.96</v>
      </c>
    </row>
    <row r="27" customFormat="false" ht="15" hidden="false" customHeight="true" outlineLevel="0" collapsed="false">
      <c r="A27" s="123" t="s">
        <v>76</v>
      </c>
      <c r="B27" s="146" t="n">
        <v>215</v>
      </c>
      <c r="C27" s="151" t="n">
        <v>-32800.8</v>
      </c>
      <c r="D27" s="151" t="n">
        <v>-32800.8</v>
      </c>
      <c r="E27" s="151" t="n">
        <v>-9300.8</v>
      </c>
      <c r="F27" s="151" t="n">
        <v>-9300.8</v>
      </c>
      <c r="G27" s="151" t="n">
        <v>-9300.8</v>
      </c>
      <c r="H27" s="151" t="n">
        <v>-9300.8</v>
      </c>
      <c r="I27" s="151" t="n">
        <v>-9300.8</v>
      </c>
      <c r="J27" s="151" t="n">
        <v>-9300.8</v>
      </c>
      <c r="K27" s="151" t="n">
        <v>-9300.8</v>
      </c>
      <c r="L27" s="151" t="n">
        <v>-9300.8</v>
      </c>
      <c r="M27" s="151" t="n">
        <v>-9300.8</v>
      </c>
      <c r="N27" s="151" t="n">
        <v>-9300.8</v>
      </c>
      <c r="O27" s="152" t="n">
        <f aca="false">SUM(C27:N27)</f>
        <v>-158609.6</v>
      </c>
    </row>
    <row r="28" customFormat="false" ht="15" hidden="false" customHeight="true" outlineLevel="0" collapsed="false">
      <c r="A28" s="123" t="s">
        <v>77</v>
      </c>
      <c r="B28" s="146" t="n">
        <v>216</v>
      </c>
      <c r="C28" s="151" t="n">
        <v>-736.03</v>
      </c>
      <c r="D28" s="151" t="n">
        <v>-736.03</v>
      </c>
      <c r="E28" s="151" t="n">
        <v>-736.03</v>
      </c>
      <c r="F28" s="151" t="n">
        <v>-736.03</v>
      </c>
      <c r="G28" s="151" t="n">
        <v>-736.03</v>
      </c>
      <c r="H28" s="151" t="n">
        <v>-736.03</v>
      </c>
      <c r="I28" s="151" t="n">
        <v>-736.03</v>
      </c>
      <c r="J28" s="151" t="n">
        <v>-736.03</v>
      </c>
      <c r="K28" s="151" t="n">
        <v>-736.03</v>
      </c>
      <c r="L28" s="151" t="n">
        <v>-736.03</v>
      </c>
      <c r="M28" s="151" t="n">
        <v>-736.03</v>
      </c>
      <c r="N28" s="151" t="n">
        <v>-736.03</v>
      </c>
      <c r="O28" s="152" t="n">
        <f aca="false">SUM(C28:N28)</f>
        <v>-8832.36</v>
      </c>
    </row>
    <row r="29" customFormat="false" ht="15" hidden="false" customHeight="true" outlineLevel="0" collapsed="false">
      <c r="A29" s="123" t="s">
        <v>78</v>
      </c>
      <c r="B29" s="146" t="n">
        <v>217</v>
      </c>
      <c r="C29" s="151" t="n">
        <v>-1134.62</v>
      </c>
      <c r="D29" s="151" t="n">
        <v>-1134.62</v>
      </c>
      <c r="E29" s="151" t="n">
        <v>-1134.62</v>
      </c>
      <c r="F29" s="151" t="n">
        <v>-1134.62</v>
      </c>
      <c r="G29" s="151" t="n">
        <v>-1134.62</v>
      </c>
      <c r="H29" s="151" t="n">
        <v>-1134.62</v>
      </c>
      <c r="I29" s="151" t="n">
        <v>-1134.62</v>
      </c>
      <c r="J29" s="151" t="n">
        <v>-1134.62</v>
      </c>
      <c r="K29" s="151" t="n">
        <v>-1134.62</v>
      </c>
      <c r="L29" s="151" t="n">
        <v>-1134.62</v>
      </c>
      <c r="M29" s="151" t="n">
        <v>-1134.62</v>
      </c>
      <c r="N29" s="151" t="n">
        <v>-1134.62</v>
      </c>
      <c r="O29" s="152" t="n">
        <f aca="false">SUM(C29:N29)</f>
        <v>-13615.44</v>
      </c>
    </row>
    <row r="30" customFormat="false" ht="15" hidden="false" customHeight="true" outlineLevel="0" collapsed="false">
      <c r="A30" s="123" t="s">
        <v>79</v>
      </c>
      <c r="B30" s="146" t="n">
        <v>218</v>
      </c>
      <c r="C30" s="151" t="n">
        <v>-1270.83</v>
      </c>
      <c r="D30" s="151" t="n">
        <v>-1270.83</v>
      </c>
      <c r="E30" s="151" t="n">
        <v>-1270.83</v>
      </c>
      <c r="F30" s="151" t="n">
        <v>-1270.83</v>
      </c>
      <c r="G30" s="151" t="n">
        <v>-1270.83</v>
      </c>
      <c r="H30" s="151" t="n">
        <v>-1270.83</v>
      </c>
      <c r="I30" s="151" t="n">
        <v>-1270.83</v>
      </c>
      <c r="J30" s="151" t="n">
        <v>-1270.83</v>
      </c>
      <c r="K30" s="151" t="n">
        <v>-1270.83</v>
      </c>
      <c r="L30" s="151" t="n">
        <v>-1270.83</v>
      </c>
      <c r="M30" s="151" t="n">
        <v>-1270.83</v>
      </c>
      <c r="N30" s="151" t="n">
        <v>-1270.83</v>
      </c>
      <c r="O30" s="152" t="n">
        <f aca="false">SUM(C30:N30)</f>
        <v>-15249.96</v>
      </c>
    </row>
    <row r="31" customFormat="false" ht="15" hidden="false" customHeight="true" outlineLevel="0" collapsed="false">
      <c r="A31" s="123" t="s">
        <v>80</v>
      </c>
      <c r="B31" s="146" t="n">
        <v>219</v>
      </c>
      <c r="C31" s="151" t="n">
        <v>-5916.33</v>
      </c>
      <c r="D31" s="151" t="n">
        <v>-5916.33</v>
      </c>
      <c r="E31" s="151" t="n">
        <v>-5916.33</v>
      </c>
      <c r="F31" s="151" t="n">
        <v>-5916.33</v>
      </c>
      <c r="G31" s="151" t="n">
        <v>-5916.33</v>
      </c>
      <c r="H31" s="151" t="n">
        <v>-5916.33</v>
      </c>
      <c r="I31" s="151" t="n">
        <v>-5916.33</v>
      </c>
      <c r="J31" s="151" t="n">
        <v>-5916.33</v>
      </c>
      <c r="K31" s="151" t="n">
        <v>-5916.33</v>
      </c>
      <c r="L31" s="151" t="n">
        <v>-5916.33</v>
      </c>
      <c r="M31" s="151" t="n">
        <v>-5916.33</v>
      </c>
      <c r="N31" s="151" t="n">
        <v>-5916.33</v>
      </c>
      <c r="O31" s="152" t="n">
        <f aca="false">SUM(C31:N31)</f>
        <v>-70995.96</v>
      </c>
    </row>
    <row r="32" customFormat="false" ht="15" hidden="false" customHeight="true" outlineLevel="0" collapsed="false">
      <c r="A32" s="123" t="s">
        <v>81</v>
      </c>
      <c r="B32" s="146" t="n">
        <v>220</v>
      </c>
      <c r="C32" s="151" t="n">
        <v>-250.13</v>
      </c>
      <c r="D32" s="151" t="n">
        <v>-250.13</v>
      </c>
      <c r="E32" s="151" t="n">
        <v>-250.13</v>
      </c>
      <c r="F32" s="151" t="n">
        <v>-250.13</v>
      </c>
      <c r="G32" s="151" t="n">
        <v>-250.13</v>
      </c>
      <c r="H32" s="151" t="n">
        <v>-250.13</v>
      </c>
      <c r="I32" s="151" t="n">
        <v>-250.13</v>
      </c>
      <c r="J32" s="151" t="n">
        <v>-250.13</v>
      </c>
      <c r="K32" s="151" t="n">
        <v>-250.13</v>
      </c>
      <c r="L32" s="151" t="n">
        <v>-250.13</v>
      </c>
      <c r="M32" s="151" t="n">
        <v>-250.13</v>
      </c>
      <c r="N32" s="151" t="n">
        <v>-250.13</v>
      </c>
      <c r="O32" s="152" t="n">
        <f aca="false">SUM(C32:N32)</f>
        <v>-3001.56</v>
      </c>
    </row>
    <row r="33" customFormat="false" ht="15" hidden="false" customHeight="true" outlineLevel="0" collapsed="false">
      <c r="A33" s="123" t="s">
        <v>82</v>
      </c>
      <c r="B33" s="146" t="n">
        <v>221</v>
      </c>
      <c r="C33" s="151" t="n">
        <v>-1750.91</v>
      </c>
      <c r="D33" s="151" t="n">
        <v>-1750.91</v>
      </c>
      <c r="E33" s="151" t="n">
        <v>-1750.91</v>
      </c>
      <c r="F33" s="151" t="n">
        <v>-1750.91</v>
      </c>
      <c r="G33" s="151" t="n">
        <v>-1750.91</v>
      </c>
      <c r="H33" s="151" t="n">
        <v>-1750.91</v>
      </c>
      <c r="I33" s="151" t="n">
        <v>-1750.91</v>
      </c>
      <c r="J33" s="151" t="n">
        <v>-1750.91</v>
      </c>
      <c r="K33" s="151" t="n">
        <v>-1750.91</v>
      </c>
      <c r="L33" s="151" t="n">
        <v>-1750.91</v>
      </c>
      <c r="M33" s="151" t="n">
        <v>-1750.91</v>
      </c>
      <c r="N33" s="151" t="n">
        <v>-1750.91</v>
      </c>
      <c r="O33" s="152" t="n">
        <f aca="false">SUM(C33:N33)</f>
        <v>-21010.92</v>
      </c>
    </row>
    <row r="34" customFormat="false" ht="15" hidden="false" customHeight="true" outlineLevel="0" collapsed="false">
      <c r="A34" s="123" t="s">
        <v>83</v>
      </c>
      <c r="B34" s="146" t="n">
        <v>222</v>
      </c>
      <c r="C34" s="151" t="n">
        <v>-1988.67</v>
      </c>
      <c r="D34" s="151" t="n">
        <v>-1988.67</v>
      </c>
      <c r="E34" s="151" t="n">
        <v>-1988.67</v>
      </c>
      <c r="F34" s="151" t="n">
        <v>-1988.67</v>
      </c>
      <c r="G34" s="151" t="n">
        <v>-1988.67</v>
      </c>
      <c r="H34" s="151" t="n">
        <v>-1988.67</v>
      </c>
      <c r="I34" s="151" t="n">
        <v>-1988.67</v>
      </c>
      <c r="J34" s="151" t="n">
        <v>-1988.67</v>
      </c>
      <c r="K34" s="151" t="n">
        <v>-1988.67</v>
      </c>
      <c r="L34" s="151" t="n">
        <v>-1988.67</v>
      </c>
      <c r="M34" s="151" t="n">
        <v>-1988.67</v>
      </c>
      <c r="N34" s="151" t="n">
        <v>-1988.67</v>
      </c>
      <c r="O34" s="152" t="n">
        <f aca="false">SUM(C34:N34)</f>
        <v>-23864.04</v>
      </c>
    </row>
    <row r="35" customFormat="false" ht="15" hidden="false" customHeight="true" outlineLevel="0" collapsed="false">
      <c r="A35" s="123" t="s">
        <v>84</v>
      </c>
      <c r="B35" s="146" t="n">
        <v>223</v>
      </c>
      <c r="C35" s="151" t="n">
        <v>0</v>
      </c>
      <c r="D35" s="151" t="n">
        <v>-9375</v>
      </c>
      <c r="E35" s="151" t="n">
        <v>0</v>
      </c>
      <c r="F35" s="151" t="n">
        <v>-12000</v>
      </c>
      <c r="G35" s="151" t="n">
        <v>-21375</v>
      </c>
      <c r="H35" s="151" t="n">
        <v>-43125</v>
      </c>
      <c r="I35" s="151" t="n">
        <v>0</v>
      </c>
      <c r="J35" s="151" t="n">
        <v>0</v>
      </c>
      <c r="K35" s="151" t="n">
        <v>0</v>
      </c>
      <c r="L35" s="151" t="n">
        <v>-44625</v>
      </c>
      <c r="M35" s="151" t="n">
        <v>0</v>
      </c>
      <c r="N35" s="151" t="n">
        <v>0</v>
      </c>
      <c r="O35" s="152" t="n">
        <f aca="false">SUM(C35:N35)</f>
        <v>-130500</v>
      </c>
    </row>
    <row r="36" customFormat="false" ht="15" hidden="false" customHeight="true" outlineLevel="0" collapsed="false">
      <c r="A36" s="123" t="s">
        <v>85</v>
      </c>
      <c r="B36" s="146" t="n">
        <v>224</v>
      </c>
      <c r="C36" s="151" t="n">
        <v>-55</v>
      </c>
      <c r="D36" s="151" t="n">
        <v>-55</v>
      </c>
      <c r="E36" s="151" t="n">
        <v>-55</v>
      </c>
      <c r="F36" s="151" t="n">
        <v>-55</v>
      </c>
      <c r="G36" s="151" t="n">
        <v>-55</v>
      </c>
      <c r="H36" s="151" t="n">
        <v>-55</v>
      </c>
      <c r="I36" s="151" t="n">
        <v>-55</v>
      </c>
      <c r="J36" s="151" t="n">
        <v>-55</v>
      </c>
      <c r="K36" s="151" t="n">
        <v>-55</v>
      </c>
      <c r="L36" s="151" t="n">
        <v>-55</v>
      </c>
      <c r="M36" s="151" t="n">
        <v>-55</v>
      </c>
      <c r="N36" s="151" t="n">
        <v>-55</v>
      </c>
      <c r="O36" s="152" t="n">
        <f aca="false">SUM(C36:N36)</f>
        <v>-660</v>
      </c>
    </row>
    <row r="37" customFormat="false" ht="15" hidden="false" customHeight="true" outlineLevel="0" collapsed="false">
      <c r="A37" s="123" t="s">
        <v>86</v>
      </c>
      <c r="B37" s="146" t="n">
        <v>225</v>
      </c>
      <c r="C37" s="151" t="n">
        <v>0</v>
      </c>
      <c r="D37" s="151" t="n">
        <v>0</v>
      </c>
      <c r="E37" s="151" t="n">
        <v>0</v>
      </c>
      <c r="F37" s="151" t="n">
        <v>0</v>
      </c>
      <c r="G37" s="151" t="n">
        <v>0</v>
      </c>
      <c r="H37" s="151" t="n">
        <v>0</v>
      </c>
      <c r="I37" s="151" t="n">
        <v>0</v>
      </c>
      <c r="J37" s="151" t="n">
        <v>0</v>
      </c>
      <c r="K37" s="151" t="n">
        <v>0</v>
      </c>
      <c r="L37" s="151" t="n">
        <v>0</v>
      </c>
      <c r="M37" s="151" t="n">
        <v>0</v>
      </c>
      <c r="N37" s="151" t="n">
        <v>0</v>
      </c>
      <c r="O37" s="152" t="n">
        <f aca="false">SUM(C37:N37)</f>
        <v>0</v>
      </c>
    </row>
    <row r="38" customFormat="false" ht="15" hidden="false" customHeight="true" outlineLevel="0" collapsed="false">
      <c r="A38" s="123" t="s">
        <v>87</v>
      </c>
      <c r="B38" s="146" t="n">
        <v>226</v>
      </c>
      <c r="C38" s="151" t="n">
        <v>-550</v>
      </c>
      <c r="D38" s="151" t="n">
        <v>-550</v>
      </c>
      <c r="E38" s="151" t="n">
        <v>-550</v>
      </c>
      <c r="F38" s="151" t="n">
        <v>-550</v>
      </c>
      <c r="G38" s="151" t="n">
        <v>-550</v>
      </c>
      <c r="H38" s="151" t="n">
        <v>-550</v>
      </c>
      <c r="I38" s="151" t="n">
        <v>-550</v>
      </c>
      <c r="J38" s="151" t="n">
        <v>-550</v>
      </c>
      <c r="K38" s="151" t="n">
        <v>-550</v>
      </c>
      <c r="L38" s="151" t="n">
        <v>-550</v>
      </c>
      <c r="M38" s="151" t="n">
        <v>-550</v>
      </c>
      <c r="N38" s="151" t="n">
        <v>-550</v>
      </c>
      <c r="O38" s="152" t="n">
        <f aca="false">SUM(C38:N38)</f>
        <v>-6600</v>
      </c>
    </row>
    <row r="39" customFormat="false" ht="15" hidden="false" customHeight="true" outlineLevel="0" collapsed="false">
      <c r="A39" s="123" t="s">
        <v>88</v>
      </c>
      <c r="B39" s="146" t="n">
        <v>227</v>
      </c>
      <c r="C39" s="151" t="n">
        <v>-17638.14</v>
      </c>
      <c r="D39" s="151" t="n">
        <v>-17638.14</v>
      </c>
      <c r="E39" s="151" t="n">
        <v>-17638.14</v>
      </c>
      <c r="F39" s="151" t="n">
        <v>-17638.14</v>
      </c>
      <c r="G39" s="151" t="n">
        <v>-17638.14</v>
      </c>
      <c r="H39" s="151" t="n">
        <v>-17638.14</v>
      </c>
      <c r="I39" s="151" t="n">
        <v>-17638.14</v>
      </c>
      <c r="J39" s="151" t="n">
        <v>-17638.14</v>
      </c>
      <c r="K39" s="151" t="n">
        <v>-17638.14</v>
      </c>
      <c r="L39" s="151" t="n">
        <v>-17638.14</v>
      </c>
      <c r="M39" s="151" t="n">
        <v>-17638.14</v>
      </c>
      <c r="N39" s="151" t="n">
        <v>-17638.14</v>
      </c>
      <c r="O39" s="152" t="n">
        <f aca="false">SUM(C39:N39)</f>
        <v>-211657.68</v>
      </c>
    </row>
    <row r="40" customFormat="false" ht="15" hidden="false" customHeight="true" outlineLevel="0" collapsed="false">
      <c r="A40" s="123" t="s">
        <v>89</v>
      </c>
      <c r="B40" s="146" t="n">
        <v>228</v>
      </c>
      <c r="C40" s="151" t="n">
        <v>-1422.33</v>
      </c>
      <c r="D40" s="151" t="n">
        <v>-1422.33</v>
      </c>
      <c r="E40" s="151" t="n">
        <v>-1422.33</v>
      </c>
      <c r="F40" s="151" t="n">
        <v>-1422.33</v>
      </c>
      <c r="G40" s="151" t="n">
        <v>-1422.33</v>
      </c>
      <c r="H40" s="151" t="n">
        <v>-1422.33</v>
      </c>
      <c r="I40" s="151" t="n">
        <v>-1422.33</v>
      </c>
      <c r="J40" s="151" t="n">
        <v>-1422.33</v>
      </c>
      <c r="K40" s="151" t="n">
        <v>-1422.33</v>
      </c>
      <c r="L40" s="151" t="n">
        <v>-1422.33</v>
      </c>
      <c r="M40" s="151" t="n">
        <v>-1422.33</v>
      </c>
      <c r="N40" s="151" t="n">
        <v>-1422.33</v>
      </c>
      <c r="O40" s="152" t="n">
        <f aca="false">SUM(C40:N40)</f>
        <v>-17067.96</v>
      </c>
    </row>
    <row r="41" customFormat="false" ht="15" hidden="false" customHeight="true" outlineLevel="0" collapsed="false">
      <c r="A41" s="123" t="s">
        <v>90</v>
      </c>
      <c r="B41" s="146" t="n">
        <v>229</v>
      </c>
      <c r="C41" s="151" t="n">
        <v>-160</v>
      </c>
      <c r="D41" s="151" t="n">
        <v>-160</v>
      </c>
      <c r="E41" s="151" t="n">
        <v>-160</v>
      </c>
      <c r="F41" s="151" t="n">
        <v>-160</v>
      </c>
      <c r="G41" s="151" t="n">
        <v>-160</v>
      </c>
      <c r="H41" s="151" t="n">
        <v>-160</v>
      </c>
      <c r="I41" s="151" t="n">
        <v>-160</v>
      </c>
      <c r="J41" s="151" t="n">
        <v>-160</v>
      </c>
      <c r="K41" s="151" t="n">
        <v>-160</v>
      </c>
      <c r="L41" s="151" t="n">
        <v>-160</v>
      </c>
      <c r="M41" s="151" t="n">
        <v>-160</v>
      </c>
      <c r="N41" s="151" t="n">
        <v>-160</v>
      </c>
      <c r="O41" s="152" t="n">
        <f aca="false">SUM(C41:N41)</f>
        <v>-1920</v>
      </c>
    </row>
    <row r="42" customFormat="false" ht="15" hidden="false" customHeight="true" outlineLevel="0" collapsed="false">
      <c r="A42" s="123" t="s">
        <v>91</v>
      </c>
      <c r="B42" s="146" t="n">
        <v>230</v>
      </c>
      <c r="C42" s="151" t="n">
        <v>-5000</v>
      </c>
      <c r="D42" s="151" t="n">
        <v>-5000</v>
      </c>
      <c r="E42" s="151" t="n">
        <v>-5000</v>
      </c>
      <c r="F42" s="151" t="n">
        <v>-5000</v>
      </c>
      <c r="G42" s="151" t="n">
        <v>-5000</v>
      </c>
      <c r="H42" s="151" t="n">
        <v>-5000</v>
      </c>
      <c r="I42" s="151" t="n">
        <v>-5000</v>
      </c>
      <c r="J42" s="151" t="n">
        <v>-5000</v>
      </c>
      <c r="K42" s="151" t="n">
        <v>-5000</v>
      </c>
      <c r="L42" s="151" t="n">
        <v>-5000</v>
      </c>
      <c r="M42" s="151" t="n">
        <v>-5000</v>
      </c>
      <c r="N42" s="151" t="n">
        <v>-5000</v>
      </c>
      <c r="O42" s="152" t="n">
        <f aca="false">SUM(C42:N42)</f>
        <v>-60000</v>
      </c>
    </row>
    <row r="43" customFormat="false" ht="15" hidden="false" customHeight="true" outlineLevel="0" collapsed="false">
      <c r="A43" s="123" t="s">
        <v>92</v>
      </c>
      <c r="B43" s="146" t="n">
        <v>231</v>
      </c>
      <c r="C43" s="151" t="n">
        <v>-417.6</v>
      </c>
      <c r="D43" s="151" t="n">
        <v>-417.6</v>
      </c>
      <c r="E43" s="151" t="n">
        <v>-417.6</v>
      </c>
      <c r="F43" s="151" t="n">
        <v>-417.6</v>
      </c>
      <c r="G43" s="151" t="n">
        <v>-417.6</v>
      </c>
      <c r="H43" s="151" t="n">
        <v>-417.6</v>
      </c>
      <c r="I43" s="151" t="n">
        <v>-417.6</v>
      </c>
      <c r="J43" s="151" t="n">
        <v>-417.6</v>
      </c>
      <c r="K43" s="151" t="n">
        <v>-417.6</v>
      </c>
      <c r="L43" s="151" t="n">
        <v>-417.6</v>
      </c>
      <c r="M43" s="151" t="n">
        <v>-417.6</v>
      </c>
      <c r="N43" s="151" t="n">
        <v>-417.6</v>
      </c>
      <c r="O43" s="152" t="n">
        <f aca="false">SUM(C43:N43)</f>
        <v>-5011.2</v>
      </c>
    </row>
    <row r="44" customFormat="false" ht="15" hidden="false" customHeight="true" outlineLevel="0" collapsed="false">
      <c r="A44" s="123" t="s">
        <v>93</v>
      </c>
      <c r="B44" s="146" t="n">
        <v>232</v>
      </c>
      <c r="C44" s="151" t="n">
        <v>-26.67</v>
      </c>
      <c r="D44" s="151" t="n">
        <v>-26.67</v>
      </c>
      <c r="E44" s="151" t="n">
        <v>-26.67</v>
      </c>
      <c r="F44" s="151" t="n">
        <v>-26.67</v>
      </c>
      <c r="G44" s="151" t="n">
        <v>-26.67</v>
      </c>
      <c r="H44" s="151" t="n">
        <v>-26.67</v>
      </c>
      <c r="I44" s="151" t="n">
        <v>-26.67</v>
      </c>
      <c r="J44" s="151" t="n">
        <v>-26.67</v>
      </c>
      <c r="K44" s="151" t="n">
        <v>-26.67</v>
      </c>
      <c r="L44" s="151" t="n">
        <v>-26.67</v>
      </c>
      <c r="M44" s="151" t="n">
        <v>-26.67</v>
      </c>
      <c r="N44" s="151" t="n">
        <v>-26.67</v>
      </c>
      <c r="O44" s="152" t="n">
        <f aca="false">SUM(C44:N44)</f>
        <v>-320.04</v>
      </c>
    </row>
    <row r="45" customFormat="false" ht="15" hidden="false" customHeight="true" outlineLevel="0" collapsed="false">
      <c r="A45" s="123" t="s">
        <v>94</v>
      </c>
      <c r="B45" s="146" t="n">
        <v>233</v>
      </c>
      <c r="C45" s="151" t="n">
        <v>-21</v>
      </c>
      <c r="D45" s="151" t="n">
        <v>-21</v>
      </c>
      <c r="E45" s="151" t="n">
        <v>-21</v>
      </c>
      <c r="F45" s="151" t="n">
        <v>-21</v>
      </c>
      <c r="G45" s="151" t="n">
        <v>-21</v>
      </c>
      <c r="H45" s="151" t="n">
        <v>-21</v>
      </c>
      <c r="I45" s="151" t="n">
        <v>-21</v>
      </c>
      <c r="J45" s="151" t="n">
        <v>-21</v>
      </c>
      <c r="K45" s="151" t="n">
        <v>-21</v>
      </c>
      <c r="L45" s="151" t="n">
        <v>-21</v>
      </c>
      <c r="M45" s="151" t="n">
        <v>-21</v>
      </c>
      <c r="N45" s="151" t="n">
        <v>-21</v>
      </c>
      <c r="O45" s="152" t="n">
        <f aca="false">SUM(C45:N45)</f>
        <v>-252</v>
      </c>
    </row>
    <row r="46" customFormat="false" ht="15" hidden="false" customHeight="true" outlineLevel="0" collapsed="false">
      <c r="A46" s="123" t="s">
        <v>95</v>
      </c>
      <c r="B46" s="146" t="n">
        <v>234</v>
      </c>
      <c r="C46" s="151" t="n">
        <v>0</v>
      </c>
      <c r="D46" s="151" t="n">
        <v>0</v>
      </c>
      <c r="E46" s="151" t="n">
        <v>0</v>
      </c>
      <c r="F46" s="151" t="n">
        <v>0</v>
      </c>
      <c r="G46" s="151" t="n">
        <v>0</v>
      </c>
      <c r="H46" s="151" t="n">
        <v>0</v>
      </c>
      <c r="I46" s="151" t="n">
        <v>0</v>
      </c>
      <c r="J46" s="151" t="n">
        <v>0</v>
      </c>
      <c r="K46" s="151" t="n">
        <v>0</v>
      </c>
      <c r="L46" s="151" t="n">
        <v>0</v>
      </c>
      <c r="M46" s="151" t="n">
        <v>-62565.83</v>
      </c>
      <c r="N46" s="151" t="n">
        <v>0</v>
      </c>
      <c r="O46" s="152" t="n">
        <f aca="false">SUM(C46:N46)</f>
        <v>-62565.83</v>
      </c>
    </row>
    <row r="47" customFormat="false" ht="15" hidden="false" customHeight="true" outlineLevel="0" collapsed="false">
      <c r="A47" s="123" t="s">
        <v>96</v>
      </c>
      <c r="B47" s="146" t="n">
        <v>235</v>
      </c>
      <c r="C47" s="151" t="n">
        <v>-1250</v>
      </c>
      <c r="D47" s="151" t="n">
        <v>-1250</v>
      </c>
      <c r="E47" s="151" t="n">
        <v>-1250</v>
      </c>
      <c r="F47" s="151" t="n">
        <v>-1250</v>
      </c>
      <c r="G47" s="151" t="n">
        <v>-1250</v>
      </c>
      <c r="H47" s="151" t="n">
        <v>-1250</v>
      </c>
      <c r="I47" s="151" t="n">
        <v>-1250</v>
      </c>
      <c r="J47" s="151" t="n">
        <v>-1250</v>
      </c>
      <c r="K47" s="151" t="n">
        <v>-1250</v>
      </c>
      <c r="L47" s="151" t="n">
        <v>-1250</v>
      </c>
      <c r="M47" s="151" t="n">
        <v>-1250</v>
      </c>
      <c r="N47" s="151" t="n">
        <v>-1250</v>
      </c>
      <c r="O47" s="152" t="n">
        <f aca="false">SUM(C47:N47)</f>
        <v>-15000</v>
      </c>
    </row>
    <row r="48" customFormat="false" ht="15" hidden="false" customHeight="true" outlineLevel="0" collapsed="false">
      <c r="A48" s="153" t="s">
        <v>97</v>
      </c>
      <c r="B48" s="146" t="n">
        <v>236</v>
      </c>
      <c r="C48" s="154" t="n">
        <v>-416147.84</v>
      </c>
      <c r="D48" s="154" t="n">
        <v>-437116.59</v>
      </c>
      <c r="E48" s="154" t="n">
        <v>-404241.59</v>
      </c>
      <c r="F48" s="154" t="n">
        <v>-431081.59</v>
      </c>
      <c r="G48" s="154" t="n">
        <v>-466890.34</v>
      </c>
      <c r="H48" s="154" t="n">
        <v>-541971.59</v>
      </c>
      <c r="I48" s="154" t="n">
        <v>-498846.59</v>
      </c>
      <c r="J48" s="154" t="n">
        <v>-498846.59</v>
      </c>
      <c r="K48" s="154" t="n">
        <v>-498846.59</v>
      </c>
      <c r="L48" s="154" t="n">
        <v>-598657.84</v>
      </c>
      <c r="M48" s="154" t="n">
        <v>-616598.66</v>
      </c>
      <c r="N48" s="154" t="n">
        <v>-754032.84</v>
      </c>
      <c r="O48" s="154" t="n">
        <f aca="false">SUM(C48:N48)</f>
        <v>-6163278.65</v>
      </c>
    </row>
    <row r="49" customFormat="false" ht="15" hidden="false" customHeight="true" outlineLevel="0" collapsed="false">
      <c r="A49" s="153" t="s">
        <v>98</v>
      </c>
      <c r="B49" s="146" t="n">
        <v>237</v>
      </c>
      <c r="C49" s="154" t="n">
        <v>240471.07</v>
      </c>
      <c r="D49" s="154" t="n">
        <v>248763.34</v>
      </c>
      <c r="E49" s="154" t="n">
        <v>300112.96</v>
      </c>
      <c r="F49" s="154" t="n">
        <v>34519.38</v>
      </c>
      <c r="G49" s="154" t="n">
        <v>182841.77</v>
      </c>
      <c r="H49" s="154" t="n">
        <v>14435.4399147972</v>
      </c>
      <c r="I49" s="154" t="n">
        <v>724359.4199148</v>
      </c>
      <c r="J49" s="154" t="n">
        <v>620657.359914798</v>
      </c>
      <c r="K49" s="154" t="n">
        <v>540129.739914798</v>
      </c>
      <c r="L49" s="154" t="n">
        <v>472030.889914798</v>
      </c>
      <c r="M49" s="154" t="n">
        <v>847647.299914798</v>
      </c>
      <c r="N49" s="154" t="n">
        <v>526686.209914798</v>
      </c>
      <c r="O49" s="154" t="n">
        <f aca="false">SUM(C49:N49)</f>
        <v>4752654.87940359</v>
      </c>
    </row>
    <row r="50" customFormat="false" ht="15" hidden="false" customHeight="true" outlineLevel="0" collapsed="false">
      <c r="A50" s="149" t="s">
        <v>547</v>
      </c>
      <c r="B50" s="150"/>
      <c r="C50" s="150"/>
      <c r="D50" s="150"/>
      <c r="E50" s="150"/>
      <c r="F50" s="150"/>
      <c r="G50" s="150"/>
      <c r="H50" s="150"/>
      <c r="I50" s="150"/>
      <c r="J50" s="150"/>
      <c r="K50" s="150"/>
      <c r="L50" s="150"/>
      <c r="M50" s="150"/>
      <c r="N50" s="150"/>
      <c r="O50" s="150"/>
    </row>
    <row r="51" customFormat="false" ht="15" hidden="false" customHeight="true" outlineLevel="0" collapsed="false">
      <c r="A51" s="123" t="s">
        <v>101</v>
      </c>
      <c r="B51" s="146" t="n">
        <v>241</v>
      </c>
      <c r="C51" s="151" t="n">
        <v>0</v>
      </c>
      <c r="D51" s="151" t="n">
        <v>0</v>
      </c>
      <c r="E51" s="151" t="n">
        <v>0</v>
      </c>
      <c r="F51" s="151" t="n">
        <v>0</v>
      </c>
      <c r="G51" s="151" t="n">
        <v>0</v>
      </c>
      <c r="H51" s="151" t="n">
        <v>0</v>
      </c>
      <c r="I51" s="151" t="n">
        <v>0</v>
      </c>
      <c r="J51" s="151" t="n">
        <v>0</v>
      </c>
      <c r="K51" s="151" t="n">
        <v>0</v>
      </c>
      <c r="L51" s="151" t="n">
        <v>0</v>
      </c>
      <c r="M51" s="151" t="n">
        <v>0</v>
      </c>
      <c r="N51" s="151" t="n">
        <v>0</v>
      </c>
      <c r="O51" s="152" t="n">
        <f aca="false">SUM(C51:N51)</f>
        <v>0</v>
      </c>
    </row>
    <row r="52" customFormat="false" ht="15" hidden="false" customHeight="true" outlineLevel="0" collapsed="false">
      <c r="A52" s="123" t="s">
        <v>102</v>
      </c>
      <c r="B52" s="146" t="n">
        <v>242</v>
      </c>
      <c r="C52" s="151" t="n">
        <v>23906.25</v>
      </c>
      <c r="D52" s="151" t="n">
        <v>23906.25</v>
      </c>
      <c r="E52" s="151" t="n">
        <v>23906.25</v>
      </c>
      <c r="F52" s="151" t="n">
        <v>23906.25</v>
      </c>
      <c r="G52" s="151" t="n">
        <v>23906.25</v>
      </c>
      <c r="H52" s="151" t="n">
        <v>23906.25</v>
      </c>
      <c r="I52" s="151" t="n">
        <v>0</v>
      </c>
      <c r="J52" s="151" t="n">
        <v>0</v>
      </c>
      <c r="K52" s="151" t="n">
        <v>0</v>
      </c>
      <c r="L52" s="151" t="n">
        <v>0</v>
      </c>
      <c r="M52" s="151" t="n">
        <v>0</v>
      </c>
      <c r="N52" s="151" t="n">
        <v>0</v>
      </c>
      <c r="O52" s="152" t="n">
        <f aca="false">SUM(C52:N52)</f>
        <v>143437.5</v>
      </c>
    </row>
    <row r="53" customFormat="false" ht="15" hidden="false" customHeight="true" outlineLevel="0" collapsed="false">
      <c r="A53" s="123" t="s">
        <v>103</v>
      </c>
      <c r="B53" s="146" t="n">
        <v>243</v>
      </c>
      <c r="C53" s="151" t="n">
        <v>0</v>
      </c>
      <c r="D53" s="151" t="n">
        <v>0</v>
      </c>
      <c r="E53" s="151" t="n">
        <v>0</v>
      </c>
      <c r="F53" s="151" t="n">
        <v>0</v>
      </c>
      <c r="G53" s="151" t="n">
        <v>0</v>
      </c>
      <c r="H53" s="151" t="n">
        <v>0</v>
      </c>
      <c r="I53" s="151" t="n">
        <v>0</v>
      </c>
      <c r="J53" s="151" t="n">
        <v>0</v>
      </c>
      <c r="K53" s="151" t="n">
        <v>0</v>
      </c>
      <c r="L53" s="151" t="n">
        <v>0</v>
      </c>
      <c r="M53" s="151" t="n">
        <v>0</v>
      </c>
      <c r="N53" s="151" t="n">
        <v>57375</v>
      </c>
      <c r="O53" s="152" t="n">
        <f aca="false">SUM(C53:N53)</f>
        <v>57375</v>
      </c>
    </row>
    <row r="54" customFormat="false" ht="15" hidden="false" customHeight="true" outlineLevel="0" collapsed="false">
      <c r="A54" s="123" t="s">
        <v>104</v>
      </c>
      <c r="B54" s="146" t="n">
        <v>244</v>
      </c>
      <c r="C54" s="151" t="n">
        <v>0</v>
      </c>
      <c r="D54" s="151" t="n">
        <v>0</v>
      </c>
      <c r="E54" s="151" t="n">
        <v>0</v>
      </c>
      <c r="F54" s="151" t="n">
        <v>0</v>
      </c>
      <c r="G54" s="151" t="n">
        <v>0</v>
      </c>
      <c r="H54" s="151" t="n">
        <v>0</v>
      </c>
      <c r="I54" s="151" t="n">
        <v>0</v>
      </c>
      <c r="J54" s="151" t="n">
        <v>0</v>
      </c>
      <c r="K54" s="151" t="n">
        <v>0</v>
      </c>
      <c r="L54" s="151" t="n">
        <v>0</v>
      </c>
      <c r="M54" s="151" t="n">
        <v>0</v>
      </c>
      <c r="N54" s="151" t="n">
        <v>0</v>
      </c>
      <c r="O54" s="152" t="n">
        <f aca="false">SUM(C54:N54)</f>
        <v>0</v>
      </c>
    </row>
    <row r="55" customFormat="false" ht="15" hidden="false" customHeight="true" outlineLevel="0" collapsed="false">
      <c r="A55" s="123" t="s">
        <v>105</v>
      </c>
      <c r="B55" s="146" t="n">
        <v>245</v>
      </c>
      <c r="C55" s="151" t="n">
        <v>0</v>
      </c>
      <c r="D55" s="151" t="n">
        <v>0</v>
      </c>
      <c r="E55" s="151" t="n">
        <v>0</v>
      </c>
      <c r="F55" s="151" t="n">
        <v>0</v>
      </c>
      <c r="G55" s="151" t="n">
        <v>0</v>
      </c>
      <c r="H55" s="151" t="n">
        <v>0</v>
      </c>
      <c r="I55" s="151" t="n">
        <v>0</v>
      </c>
      <c r="J55" s="151" t="n">
        <v>0</v>
      </c>
      <c r="K55" s="151" t="n">
        <v>0</v>
      </c>
      <c r="L55" s="151" t="n">
        <v>0</v>
      </c>
      <c r="M55" s="151" t="n">
        <v>0</v>
      </c>
      <c r="N55" s="151" t="n">
        <v>0</v>
      </c>
      <c r="O55" s="152" t="n">
        <f aca="false">SUM(C55:N55)</f>
        <v>0</v>
      </c>
    </row>
    <row r="56" customFormat="false" ht="15" hidden="false" customHeight="true" outlineLevel="0" collapsed="false">
      <c r="A56" s="123" t="s">
        <v>106</v>
      </c>
      <c r="B56" s="146" t="n">
        <v>246</v>
      </c>
      <c r="C56" s="151" t="n">
        <v>0</v>
      </c>
      <c r="D56" s="151" t="n">
        <v>0</v>
      </c>
      <c r="E56" s="151" t="n">
        <v>0</v>
      </c>
      <c r="F56" s="151" t="n">
        <v>0</v>
      </c>
      <c r="G56" s="151" t="n">
        <v>0</v>
      </c>
      <c r="H56" s="151" t="n">
        <v>0</v>
      </c>
      <c r="I56" s="151" t="n">
        <v>0</v>
      </c>
      <c r="J56" s="151" t="n">
        <v>0</v>
      </c>
      <c r="K56" s="151" t="n">
        <v>0</v>
      </c>
      <c r="L56" s="151" t="n">
        <v>0</v>
      </c>
      <c r="M56" s="151" t="n">
        <v>0</v>
      </c>
      <c r="N56" s="151" t="n">
        <v>0</v>
      </c>
      <c r="O56" s="152" t="n">
        <f aca="false">SUM(C56:N56)</f>
        <v>0</v>
      </c>
    </row>
    <row r="57" customFormat="false" ht="15" hidden="false" customHeight="true" outlineLevel="0" collapsed="false">
      <c r="A57" s="123" t="s">
        <v>107</v>
      </c>
      <c r="B57" s="146" t="n">
        <v>247</v>
      </c>
      <c r="C57" s="151" t="n">
        <v>8800</v>
      </c>
      <c r="D57" s="151" t="n">
        <v>8800</v>
      </c>
      <c r="E57" s="151" t="n">
        <v>8800</v>
      </c>
      <c r="F57" s="151" t="n">
        <v>8800</v>
      </c>
      <c r="G57" s="151" t="n">
        <v>8800</v>
      </c>
      <c r="H57" s="151" t="n">
        <v>8800</v>
      </c>
      <c r="I57" s="151" t="n">
        <v>8800</v>
      </c>
      <c r="J57" s="151" t="n">
        <v>8800</v>
      </c>
      <c r="K57" s="151" t="n">
        <v>8800</v>
      </c>
      <c r="L57" s="151" t="n">
        <v>8800</v>
      </c>
      <c r="M57" s="151" t="n">
        <v>8800</v>
      </c>
      <c r="N57" s="151" t="n">
        <v>8800</v>
      </c>
      <c r="O57" s="152" t="n">
        <f aca="false">SUM(C57:N57)</f>
        <v>105600</v>
      </c>
    </row>
    <row r="58" customFormat="false" ht="15" hidden="false" customHeight="true" outlineLevel="0" collapsed="false">
      <c r="A58" s="123" t="s">
        <v>108</v>
      </c>
      <c r="B58" s="146" t="n">
        <v>248</v>
      </c>
      <c r="C58" s="151" t="n">
        <v>0</v>
      </c>
      <c r="D58" s="151" t="n">
        <v>0</v>
      </c>
      <c r="E58" s="151" t="n">
        <v>0</v>
      </c>
      <c r="F58" s="151" t="n">
        <v>0</v>
      </c>
      <c r="G58" s="151" t="n">
        <v>0</v>
      </c>
      <c r="H58" s="151" t="n">
        <v>0</v>
      </c>
      <c r="I58" s="151" t="n">
        <v>0</v>
      </c>
      <c r="J58" s="151" t="n">
        <v>0</v>
      </c>
      <c r="K58" s="151" t="n">
        <v>0</v>
      </c>
      <c r="L58" s="151" t="n">
        <v>0</v>
      </c>
      <c r="M58" s="151" t="n">
        <v>0</v>
      </c>
      <c r="N58" s="151" t="n">
        <v>0</v>
      </c>
      <c r="O58" s="152" t="n">
        <f aca="false">SUM(C58:N58)</f>
        <v>0</v>
      </c>
    </row>
    <row r="59" customFormat="false" ht="15" hidden="false" customHeight="true" outlineLevel="0" collapsed="false">
      <c r="A59" s="123" t="s">
        <v>109</v>
      </c>
      <c r="B59" s="146" t="n">
        <v>249</v>
      </c>
      <c r="C59" s="151" t="n">
        <v>0</v>
      </c>
      <c r="D59" s="151" t="n">
        <v>3157.89</v>
      </c>
      <c r="E59" s="151" t="n">
        <v>3157.89</v>
      </c>
      <c r="F59" s="151" t="n">
        <v>3157.89</v>
      </c>
      <c r="G59" s="151" t="n">
        <v>3157.89</v>
      </c>
      <c r="H59" s="151" t="n">
        <v>3157.89</v>
      </c>
      <c r="I59" s="151" t="n">
        <v>3157.89</v>
      </c>
      <c r="J59" s="151" t="n">
        <v>3157.89</v>
      </c>
      <c r="K59" s="151" t="n">
        <v>3157.89</v>
      </c>
      <c r="L59" s="151" t="n">
        <v>3157.89</v>
      </c>
      <c r="M59" s="151" t="n">
        <v>3157.89</v>
      </c>
      <c r="N59" s="151" t="n">
        <v>3157.89</v>
      </c>
      <c r="O59" s="152" t="n">
        <f aca="false">SUM(C59:N59)</f>
        <v>34736.79</v>
      </c>
    </row>
    <row r="60" customFormat="false" ht="15" hidden="false" customHeight="true" outlineLevel="0" collapsed="false">
      <c r="A60" s="123" t="s">
        <v>110</v>
      </c>
      <c r="B60" s="146" t="n">
        <v>250</v>
      </c>
      <c r="C60" s="151" t="n">
        <v>0</v>
      </c>
      <c r="D60" s="151" t="n">
        <v>0</v>
      </c>
      <c r="E60" s="151" t="n">
        <v>0</v>
      </c>
      <c r="F60" s="151" t="n">
        <v>0</v>
      </c>
      <c r="G60" s="151" t="n">
        <v>0</v>
      </c>
      <c r="H60" s="151" t="n">
        <v>0</v>
      </c>
      <c r="I60" s="151" t="n">
        <v>0</v>
      </c>
      <c r="J60" s="151" t="n">
        <v>0</v>
      </c>
      <c r="K60" s="151" t="n">
        <v>0</v>
      </c>
      <c r="L60" s="151" t="n">
        <v>0</v>
      </c>
      <c r="M60" s="151" t="n">
        <v>0</v>
      </c>
      <c r="N60" s="151" t="n">
        <v>0</v>
      </c>
      <c r="O60" s="152" t="n">
        <f aca="false">SUM(C60:N60)</f>
        <v>0</v>
      </c>
    </row>
    <row r="61" customFormat="false" ht="15" hidden="false" customHeight="true" outlineLevel="0" collapsed="false">
      <c r="A61" s="123" t="s">
        <v>111</v>
      </c>
      <c r="B61" s="146" t="n">
        <v>251</v>
      </c>
      <c r="C61" s="151" t="n">
        <v>0</v>
      </c>
      <c r="D61" s="151" t="n">
        <v>0</v>
      </c>
      <c r="E61" s="151" t="n">
        <v>0</v>
      </c>
      <c r="F61" s="151" t="n">
        <v>0</v>
      </c>
      <c r="G61" s="151" t="n">
        <v>0</v>
      </c>
      <c r="H61" s="151" t="n">
        <v>0</v>
      </c>
      <c r="I61" s="151" t="n">
        <v>0</v>
      </c>
      <c r="J61" s="151" t="n">
        <v>0</v>
      </c>
      <c r="K61" s="151" t="n">
        <v>0</v>
      </c>
      <c r="L61" s="151" t="n">
        <v>0</v>
      </c>
      <c r="M61" s="151" t="n">
        <v>0</v>
      </c>
      <c r="N61" s="151" t="n">
        <v>0</v>
      </c>
      <c r="O61" s="152" t="n">
        <f aca="false">SUM(C61:N61)</f>
        <v>0</v>
      </c>
    </row>
    <row r="62" customFormat="false" ht="15" hidden="false" customHeight="true" outlineLevel="0" collapsed="false">
      <c r="A62" s="123" t="s">
        <v>112</v>
      </c>
      <c r="B62" s="146" t="n">
        <v>252</v>
      </c>
      <c r="C62" s="151" t="n">
        <v>3157.89</v>
      </c>
      <c r="D62" s="151" t="n">
        <v>3157.89</v>
      </c>
      <c r="E62" s="151" t="n">
        <v>3157.89</v>
      </c>
      <c r="F62" s="151" t="n">
        <v>3157.89</v>
      </c>
      <c r="G62" s="151" t="n">
        <v>3157.89</v>
      </c>
      <c r="H62" s="151" t="n">
        <v>3157.89</v>
      </c>
      <c r="I62" s="151" t="n">
        <v>3157.89</v>
      </c>
      <c r="J62" s="151" t="n">
        <v>3157.89</v>
      </c>
      <c r="K62" s="151" t="n">
        <v>3157.89</v>
      </c>
      <c r="L62" s="151" t="n">
        <v>3157.89</v>
      </c>
      <c r="M62" s="151" t="n">
        <v>3157.89</v>
      </c>
      <c r="N62" s="151" t="n">
        <v>3157.89</v>
      </c>
      <c r="O62" s="152" t="n">
        <f aca="false">SUM(C62:N62)</f>
        <v>37894.68</v>
      </c>
    </row>
    <row r="63" customFormat="false" ht="15" hidden="false" customHeight="true" outlineLevel="0" collapsed="false">
      <c r="A63" s="123" t="s">
        <v>113</v>
      </c>
      <c r="B63" s="146" t="n">
        <v>253</v>
      </c>
      <c r="C63" s="151" t="n">
        <v>0</v>
      </c>
      <c r="D63" s="151" t="n">
        <v>0</v>
      </c>
      <c r="E63" s="151" t="n">
        <v>0</v>
      </c>
      <c r="F63" s="151" t="n">
        <v>0</v>
      </c>
      <c r="G63" s="151" t="n">
        <v>0</v>
      </c>
      <c r="H63" s="151" t="n">
        <v>0</v>
      </c>
      <c r="I63" s="151" t="n">
        <v>0</v>
      </c>
      <c r="J63" s="151" t="n">
        <v>0</v>
      </c>
      <c r="K63" s="151" t="n">
        <v>0</v>
      </c>
      <c r="L63" s="151" t="n">
        <v>0</v>
      </c>
      <c r="M63" s="151" t="n">
        <v>0</v>
      </c>
      <c r="N63" s="151" t="n">
        <v>0</v>
      </c>
      <c r="O63" s="152" t="n">
        <f aca="false">SUM(C63:N63)</f>
        <v>0</v>
      </c>
    </row>
    <row r="64" customFormat="false" ht="15" hidden="false" customHeight="true" outlineLevel="0" collapsed="false">
      <c r="A64" s="123" t="s">
        <v>114</v>
      </c>
      <c r="B64" s="146" t="n">
        <v>254</v>
      </c>
      <c r="C64" s="151" t="n">
        <v>0</v>
      </c>
      <c r="D64" s="151" t="n">
        <v>0</v>
      </c>
      <c r="E64" s="151" t="n">
        <v>0</v>
      </c>
      <c r="F64" s="151" t="n">
        <v>0</v>
      </c>
      <c r="G64" s="151" t="n">
        <v>0</v>
      </c>
      <c r="H64" s="151" t="n">
        <v>0</v>
      </c>
      <c r="I64" s="151" t="n">
        <v>0</v>
      </c>
      <c r="J64" s="151" t="n">
        <v>0</v>
      </c>
      <c r="K64" s="151" t="n">
        <v>0</v>
      </c>
      <c r="L64" s="151" t="n">
        <v>0</v>
      </c>
      <c r="M64" s="151" t="n">
        <v>0</v>
      </c>
      <c r="N64" s="151" t="n">
        <v>0</v>
      </c>
      <c r="O64" s="152" t="n">
        <f aca="false">SUM(C64:N64)</f>
        <v>0</v>
      </c>
    </row>
    <row r="65" customFormat="false" ht="15" hidden="false" customHeight="true" outlineLevel="0" collapsed="false">
      <c r="A65" s="123" t="s">
        <v>115</v>
      </c>
      <c r="B65" s="146" t="n">
        <v>255</v>
      </c>
      <c r="C65" s="151" t="n">
        <v>0</v>
      </c>
      <c r="D65" s="151" t="n">
        <v>0</v>
      </c>
      <c r="E65" s="151" t="n">
        <v>0</v>
      </c>
      <c r="F65" s="151" t="n">
        <v>0</v>
      </c>
      <c r="G65" s="151" t="n">
        <v>0</v>
      </c>
      <c r="H65" s="151" t="n">
        <v>0</v>
      </c>
      <c r="I65" s="151" t="n">
        <v>0</v>
      </c>
      <c r="J65" s="151" t="n">
        <v>0</v>
      </c>
      <c r="K65" s="151" t="n">
        <v>0</v>
      </c>
      <c r="L65" s="151" t="n">
        <v>0</v>
      </c>
      <c r="M65" s="151" t="n">
        <v>0</v>
      </c>
      <c r="N65" s="151" t="n">
        <v>0</v>
      </c>
      <c r="O65" s="152" t="n">
        <f aca="false">SUM(C65:N65)</f>
        <v>0</v>
      </c>
    </row>
    <row r="66" customFormat="false" ht="15" hidden="false" customHeight="true" outlineLevel="0" collapsed="false">
      <c r="A66" s="123" t="s">
        <v>116</v>
      </c>
      <c r="B66" s="146" t="n">
        <v>256</v>
      </c>
      <c r="C66" s="151" t="n">
        <v>0</v>
      </c>
      <c r="D66" s="151" t="n">
        <v>0</v>
      </c>
      <c r="E66" s="151" t="n">
        <v>0</v>
      </c>
      <c r="F66" s="151" t="n">
        <v>0</v>
      </c>
      <c r="G66" s="151" t="n">
        <v>0</v>
      </c>
      <c r="H66" s="151" t="n">
        <v>0</v>
      </c>
      <c r="I66" s="151" t="n">
        <v>0</v>
      </c>
      <c r="J66" s="151" t="n">
        <v>0</v>
      </c>
      <c r="K66" s="151" t="n">
        <v>0</v>
      </c>
      <c r="L66" s="151" t="n">
        <v>0</v>
      </c>
      <c r="M66" s="151" t="n">
        <v>0</v>
      </c>
      <c r="N66" s="151" t="n">
        <v>0</v>
      </c>
      <c r="O66" s="152" t="n">
        <f aca="false">SUM(C66:N66)</f>
        <v>0</v>
      </c>
    </row>
    <row r="67" customFormat="false" ht="15" hidden="false" customHeight="true" outlineLevel="0" collapsed="false">
      <c r="A67" s="123" t="s">
        <v>117</v>
      </c>
      <c r="B67" s="146" t="n">
        <v>257</v>
      </c>
      <c r="C67" s="151" t="n">
        <v>0</v>
      </c>
      <c r="D67" s="151" t="n">
        <v>0</v>
      </c>
      <c r="E67" s="151" t="n">
        <v>0</v>
      </c>
      <c r="F67" s="151" t="n">
        <v>0</v>
      </c>
      <c r="G67" s="151" t="n">
        <v>0</v>
      </c>
      <c r="H67" s="151" t="n">
        <v>0</v>
      </c>
      <c r="I67" s="151" t="n">
        <v>0</v>
      </c>
      <c r="J67" s="151" t="n">
        <v>0</v>
      </c>
      <c r="K67" s="151" t="n">
        <v>0</v>
      </c>
      <c r="L67" s="151" t="n">
        <v>0</v>
      </c>
      <c r="M67" s="151" t="n">
        <v>0</v>
      </c>
      <c r="N67" s="151" t="n">
        <v>0</v>
      </c>
      <c r="O67" s="152" t="n">
        <f aca="false">SUM(C67:N67)</f>
        <v>0</v>
      </c>
    </row>
    <row r="68" customFormat="false" ht="15" hidden="false" customHeight="true" outlineLevel="0" collapsed="false">
      <c r="A68" s="123" t="s">
        <v>118</v>
      </c>
      <c r="B68" s="146" t="n">
        <v>258</v>
      </c>
      <c r="C68" s="151" t="n">
        <v>0</v>
      </c>
      <c r="D68" s="151" t="n">
        <v>0</v>
      </c>
      <c r="E68" s="151" t="n">
        <v>0</v>
      </c>
      <c r="F68" s="151" t="n">
        <v>0</v>
      </c>
      <c r="G68" s="151" t="n">
        <v>0</v>
      </c>
      <c r="H68" s="151" t="n">
        <v>0</v>
      </c>
      <c r="I68" s="151" t="n">
        <v>0</v>
      </c>
      <c r="J68" s="151" t="n">
        <v>0</v>
      </c>
      <c r="K68" s="151" t="n">
        <v>0</v>
      </c>
      <c r="L68" s="151" t="n">
        <v>0</v>
      </c>
      <c r="M68" s="151" t="n">
        <v>0</v>
      </c>
      <c r="N68" s="151" t="n">
        <v>0</v>
      </c>
      <c r="O68" s="152" t="n">
        <f aca="false">SUM(C68:N68)</f>
        <v>0</v>
      </c>
    </row>
    <row r="69" customFormat="false" ht="15" hidden="false" customHeight="true" outlineLevel="0" collapsed="false">
      <c r="A69" s="123" t="s">
        <v>119</v>
      </c>
      <c r="B69" s="146" t="n">
        <v>259</v>
      </c>
      <c r="C69" s="151" t="n">
        <v>0</v>
      </c>
      <c r="D69" s="151" t="n">
        <v>0</v>
      </c>
      <c r="E69" s="151" t="n">
        <v>0</v>
      </c>
      <c r="F69" s="151" t="n">
        <v>0</v>
      </c>
      <c r="G69" s="151" t="n">
        <v>0</v>
      </c>
      <c r="H69" s="151" t="n">
        <v>0</v>
      </c>
      <c r="I69" s="151" t="n">
        <v>0</v>
      </c>
      <c r="J69" s="151" t="n">
        <v>0</v>
      </c>
      <c r="K69" s="151" t="n">
        <v>0</v>
      </c>
      <c r="L69" s="151" t="n">
        <v>0</v>
      </c>
      <c r="M69" s="151" t="n">
        <v>0</v>
      </c>
      <c r="N69" s="151" t="n">
        <v>0</v>
      </c>
      <c r="O69" s="152" t="n">
        <f aca="false">SUM(C69:N69)</f>
        <v>0</v>
      </c>
    </row>
    <row r="70" customFormat="false" ht="15" hidden="false" customHeight="true" outlineLevel="0" collapsed="false">
      <c r="A70" s="123" t="s">
        <v>120</v>
      </c>
      <c r="B70" s="146" t="n">
        <v>260</v>
      </c>
      <c r="C70" s="151" t="n">
        <v>0</v>
      </c>
      <c r="D70" s="151" t="n">
        <v>0</v>
      </c>
      <c r="E70" s="151" t="n">
        <v>0</v>
      </c>
      <c r="F70" s="151" t="n">
        <v>0</v>
      </c>
      <c r="G70" s="151" t="n">
        <v>0</v>
      </c>
      <c r="H70" s="151" t="n">
        <v>0</v>
      </c>
      <c r="I70" s="151" t="n">
        <v>0</v>
      </c>
      <c r="J70" s="151" t="n">
        <v>0</v>
      </c>
      <c r="K70" s="151" t="n">
        <v>0</v>
      </c>
      <c r="L70" s="151" t="n">
        <v>0</v>
      </c>
      <c r="M70" s="151" t="n">
        <v>0</v>
      </c>
      <c r="N70" s="151" t="n">
        <v>0</v>
      </c>
      <c r="O70" s="152" t="n">
        <f aca="false">SUM(C70:N70)</f>
        <v>0</v>
      </c>
    </row>
    <row r="71" customFormat="false" ht="15" hidden="false" customHeight="true" outlineLevel="0" collapsed="false">
      <c r="A71" s="153" t="s">
        <v>121</v>
      </c>
      <c r="B71" s="146" t="n">
        <v>261</v>
      </c>
      <c r="C71" s="154" t="n">
        <v>35864.14</v>
      </c>
      <c r="D71" s="154" t="n">
        <v>39022.04</v>
      </c>
      <c r="E71" s="154" t="n">
        <v>39022.04</v>
      </c>
      <c r="F71" s="154" t="n">
        <v>39022.04</v>
      </c>
      <c r="G71" s="154" t="n">
        <v>39022.04</v>
      </c>
      <c r="H71" s="154" t="n">
        <v>39022.04</v>
      </c>
      <c r="I71" s="154" t="n">
        <v>15115.79</v>
      </c>
      <c r="J71" s="154" t="n">
        <v>15115.79</v>
      </c>
      <c r="K71" s="154" t="n">
        <v>15115.79</v>
      </c>
      <c r="L71" s="154" t="n">
        <v>15115.79</v>
      </c>
      <c r="M71" s="154" t="n">
        <v>15115.79</v>
      </c>
      <c r="N71" s="154" t="n">
        <v>72490.79</v>
      </c>
      <c r="O71" s="154" t="n">
        <f aca="false">SUM(C71:N71)</f>
        <v>379044.08</v>
      </c>
    </row>
    <row r="72" customFormat="false" ht="15" hidden="false" customHeight="true" outlineLevel="0" collapsed="false">
      <c r="A72" s="123" t="s">
        <v>123</v>
      </c>
      <c r="B72" s="146" t="n">
        <v>263</v>
      </c>
      <c r="C72" s="151" t="n">
        <v>-54791.67</v>
      </c>
      <c r="D72" s="151" t="n">
        <v>-54791.67</v>
      </c>
      <c r="E72" s="151" t="n">
        <v>-54791.67</v>
      </c>
      <c r="F72" s="151" t="n">
        <v>-54791.67</v>
      </c>
      <c r="G72" s="151" t="n">
        <v>-54791.67</v>
      </c>
      <c r="H72" s="151" t="n">
        <v>-54791.67</v>
      </c>
      <c r="I72" s="151" t="n">
        <v>-54791.67</v>
      </c>
      <c r="J72" s="151" t="n">
        <v>-54791.67</v>
      </c>
      <c r="K72" s="151" t="n">
        <v>-54791.67</v>
      </c>
      <c r="L72" s="151" t="n">
        <v>-54791.67</v>
      </c>
      <c r="M72" s="151" t="n">
        <v>-54791.67</v>
      </c>
      <c r="N72" s="151" t="n">
        <v>-54791.67</v>
      </c>
      <c r="O72" s="152" t="n">
        <f aca="false">SUM(C72:N72)</f>
        <v>-657500.04</v>
      </c>
    </row>
    <row r="73" customFormat="false" ht="15" hidden="false" customHeight="true" outlineLevel="0" collapsed="false">
      <c r="A73" s="123" t="s">
        <v>65</v>
      </c>
      <c r="B73" s="146" t="n">
        <v>264</v>
      </c>
      <c r="C73" s="151" t="n">
        <v>-3835.42</v>
      </c>
      <c r="D73" s="151" t="n">
        <v>-3835.42</v>
      </c>
      <c r="E73" s="151" t="n">
        <v>-3835.42</v>
      </c>
      <c r="F73" s="151" t="n">
        <v>-3835.42</v>
      </c>
      <c r="G73" s="151" t="n">
        <v>-3835.42</v>
      </c>
      <c r="H73" s="151" t="n">
        <v>-3835.42</v>
      </c>
      <c r="I73" s="151" t="n">
        <v>-3835.42</v>
      </c>
      <c r="J73" s="151" t="n">
        <v>-3835.42</v>
      </c>
      <c r="K73" s="151" t="n">
        <v>-3835.42</v>
      </c>
      <c r="L73" s="151" t="n">
        <v>-3835.42</v>
      </c>
      <c r="M73" s="151" t="n">
        <v>-3835.42</v>
      </c>
      <c r="N73" s="151" t="n">
        <v>-3835.42</v>
      </c>
      <c r="O73" s="152" t="n">
        <f aca="false">SUM(C73:N73)</f>
        <v>-46025.04</v>
      </c>
    </row>
    <row r="74" customFormat="false" ht="15" hidden="false" customHeight="true" outlineLevel="0" collapsed="false">
      <c r="A74" s="123" t="s">
        <v>67</v>
      </c>
      <c r="B74" s="146" t="n">
        <v>265</v>
      </c>
      <c r="C74" s="151" t="n">
        <v>-12138</v>
      </c>
      <c r="D74" s="151" t="n">
        <v>-12138</v>
      </c>
      <c r="E74" s="151" t="n">
        <v>-12138</v>
      </c>
      <c r="F74" s="151" t="n">
        <v>-12138</v>
      </c>
      <c r="G74" s="151" t="n">
        <v>-12138</v>
      </c>
      <c r="H74" s="151" t="n">
        <v>-12138</v>
      </c>
      <c r="I74" s="151" t="n">
        <v>-12138</v>
      </c>
      <c r="J74" s="151" t="n">
        <v>-12138</v>
      </c>
      <c r="K74" s="151" t="n">
        <v>-12138</v>
      </c>
      <c r="L74" s="151" t="n">
        <v>-12138</v>
      </c>
      <c r="M74" s="151" t="n">
        <v>-12138</v>
      </c>
      <c r="N74" s="151" t="n">
        <v>-12138</v>
      </c>
      <c r="O74" s="152" t="n">
        <f aca="false">SUM(C74:N74)</f>
        <v>-145656</v>
      </c>
    </row>
    <row r="75" customFormat="false" ht="15" hidden="false" customHeight="true" outlineLevel="0" collapsed="false">
      <c r="A75" s="123" t="s">
        <v>68</v>
      </c>
      <c r="B75" s="146" t="n">
        <v>266</v>
      </c>
      <c r="C75" s="151" t="n">
        <v>-1095.83</v>
      </c>
      <c r="D75" s="151" t="n">
        <v>-1095.83</v>
      </c>
      <c r="E75" s="151" t="n">
        <v>-1095.83</v>
      </c>
      <c r="F75" s="151" t="n">
        <v>-1095.83</v>
      </c>
      <c r="G75" s="151" t="n">
        <v>-1095.83</v>
      </c>
      <c r="H75" s="151" t="n">
        <v>-1095.83</v>
      </c>
      <c r="I75" s="151" t="n">
        <v>-1095.83</v>
      </c>
      <c r="J75" s="151" t="n">
        <v>-1095.83</v>
      </c>
      <c r="K75" s="151" t="n">
        <v>-1095.83</v>
      </c>
      <c r="L75" s="151" t="n">
        <v>-1095.83</v>
      </c>
      <c r="M75" s="151" t="n">
        <v>-1095.83</v>
      </c>
      <c r="N75" s="151" t="n">
        <v>-1095.83</v>
      </c>
      <c r="O75" s="152" t="n">
        <f aca="false">SUM(C75:N75)</f>
        <v>-13149.96</v>
      </c>
    </row>
    <row r="76" customFormat="false" ht="15" hidden="false" customHeight="true" outlineLevel="0" collapsed="false">
      <c r="A76" s="123" t="s">
        <v>69</v>
      </c>
      <c r="B76" s="146" t="n">
        <v>267</v>
      </c>
      <c r="C76" s="151" t="n">
        <v>-273.96</v>
      </c>
      <c r="D76" s="151" t="n">
        <v>-273.96</v>
      </c>
      <c r="E76" s="151" t="n">
        <v>-273.96</v>
      </c>
      <c r="F76" s="151" t="n">
        <v>-273.96</v>
      </c>
      <c r="G76" s="151" t="n">
        <v>-273.96</v>
      </c>
      <c r="H76" s="151" t="n">
        <v>-273.96</v>
      </c>
      <c r="I76" s="151" t="n">
        <v>-273.96</v>
      </c>
      <c r="J76" s="151" t="n">
        <v>-273.96</v>
      </c>
      <c r="K76" s="151" t="n">
        <v>-273.96</v>
      </c>
      <c r="L76" s="151" t="n">
        <v>-273.96</v>
      </c>
      <c r="M76" s="151" t="n">
        <v>-273.96</v>
      </c>
      <c r="N76" s="151" t="n">
        <v>-273.96</v>
      </c>
      <c r="O76" s="152" t="n">
        <f aca="false">SUM(C76:N76)</f>
        <v>-3287.52</v>
      </c>
    </row>
    <row r="77" customFormat="false" ht="15" hidden="false" customHeight="true" outlineLevel="0" collapsed="false">
      <c r="A77" s="123" t="s">
        <v>72</v>
      </c>
      <c r="B77" s="146" t="n">
        <v>268</v>
      </c>
      <c r="C77" s="151" t="n">
        <v>-8500</v>
      </c>
      <c r="D77" s="151" t="n">
        <v>-6750</v>
      </c>
      <c r="E77" s="151" t="n">
        <v>-6750</v>
      </c>
      <c r="F77" s="151" t="n">
        <v>-6750</v>
      </c>
      <c r="G77" s="151" t="n">
        <v>-5000</v>
      </c>
      <c r="H77" s="151" t="n">
        <v>-5000</v>
      </c>
      <c r="I77" s="151" t="n">
        <v>-5000</v>
      </c>
      <c r="J77" s="151" t="n">
        <v>-5000</v>
      </c>
      <c r="K77" s="151" t="n">
        <v>-5000</v>
      </c>
      <c r="L77" s="151" t="n">
        <v>-5000</v>
      </c>
      <c r="M77" s="151" t="n">
        <v>-5000</v>
      </c>
      <c r="N77" s="151" t="n">
        <v>-5000</v>
      </c>
      <c r="O77" s="152" t="n">
        <f aca="false">SUM(C77:N77)</f>
        <v>-68750</v>
      </c>
    </row>
    <row r="78" customFormat="false" ht="15" hidden="false" customHeight="true" outlineLevel="0" collapsed="false">
      <c r="A78" s="123" t="s">
        <v>73</v>
      </c>
      <c r="B78" s="146" t="n">
        <v>269</v>
      </c>
      <c r="C78" s="151" t="n">
        <v>-583.8</v>
      </c>
      <c r="D78" s="151" t="n">
        <v>-583.8</v>
      </c>
      <c r="E78" s="151" t="n">
        <v>-583.8</v>
      </c>
      <c r="F78" s="151" t="n">
        <v>-583.8</v>
      </c>
      <c r="G78" s="151" t="n">
        <v>-583.8</v>
      </c>
      <c r="H78" s="151" t="n">
        <v>-583.8</v>
      </c>
      <c r="I78" s="151" t="n">
        <v>-583.8</v>
      </c>
      <c r="J78" s="151" t="n">
        <v>-583.8</v>
      </c>
      <c r="K78" s="151" t="n">
        <v>-583.8</v>
      </c>
      <c r="L78" s="151" t="n">
        <v>-583.8</v>
      </c>
      <c r="M78" s="151" t="n">
        <v>-583.8</v>
      </c>
      <c r="N78" s="151" t="n">
        <v>-583.8</v>
      </c>
      <c r="O78" s="152" t="n">
        <f aca="false">SUM(C78:N78)</f>
        <v>-7005.6</v>
      </c>
    </row>
    <row r="79" customFormat="false" ht="15" hidden="false" customHeight="true" outlineLevel="0" collapsed="false">
      <c r="A79" s="123" t="s">
        <v>124</v>
      </c>
      <c r="B79" s="146" t="n">
        <v>270</v>
      </c>
      <c r="C79" s="151" t="n">
        <v>-1497.86</v>
      </c>
      <c r="D79" s="151" t="n">
        <v>-1497.86</v>
      </c>
      <c r="E79" s="151" t="n">
        <v>-1497.86</v>
      </c>
      <c r="F79" s="151" t="n">
        <v>-1497.86</v>
      </c>
      <c r="G79" s="151" t="n">
        <v>-1497.86</v>
      </c>
      <c r="H79" s="151" t="n">
        <v>-1497.86</v>
      </c>
      <c r="I79" s="151" t="n">
        <v>-1497.86</v>
      </c>
      <c r="J79" s="151" t="n">
        <v>-1497.86</v>
      </c>
      <c r="K79" s="151" t="n">
        <v>-1497.86</v>
      </c>
      <c r="L79" s="151" t="n">
        <v>-1497.86</v>
      </c>
      <c r="M79" s="151" t="n">
        <v>-1497.86</v>
      </c>
      <c r="N79" s="151" t="n">
        <v>-1497.86</v>
      </c>
      <c r="O79" s="152" t="n">
        <f aca="false">SUM(C79:N79)</f>
        <v>-17974.32</v>
      </c>
    </row>
    <row r="80" customFormat="false" ht="15" hidden="false" customHeight="true" outlineLevel="0" collapsed="false">
      <c r="A80" s="123" t="s">
        <v>125</v>
      </c>
      <c r="B80" s="146" t="n">
        <v>271</v>
      </c>
      <c r="C80" s="151" t="n">
        <v>-290</v>
      </c>
      <c r="D80" s="151" t="n">
        <v>-290</v>
      </c>
      <c r="E80" s="151" t="n">
        <v>-290</v>
      </c>
      <c r="F80" s="151" t="n">
        <v>-290</v>
      </c>
      <c r="G80" s="151" t="n">
        <v>-290</v>
      </c>
      <c r="H80" s="151" t="n">
        <v>-290</v>
      </c>
      <c r="I80" s="151" t="n">
        <v>-290</v>
      </c>
      <c r="J80" s="151" t="n">
        <v>-290</v>
      </c>
      <c r="K80" s="151" t="n">
        <v>-290</v>
      </c>
      <c r="L80" s="151" t="n">
        <v>-290</v>
      </c>
      <c r="M80" s="151" t="n">
        <v>-290</v>
      </c>
      <c r="N80" s="151" t="n">
        <v>-290</v>
      </c>
      <c r="O80" s="152" t="n">
        <f aca="false">SUM(C80:N80)</f>
        <v>-3480</v>
      </c>
    </row>
    <row r="81" customFormat="false" ht="15" hidden="false" customHeight="true" outlineLevel="0" collapsed="false">
      <c r="A81" s="123" t="s">
        <v>126</v>
      </c>
      <c r="B81" s="146" t="n">
        <v>272</v>
      </c>
      <c r="C81" s="151" t="n">
        <v>-245</v>
      </c>
      <c r="D81" s="151" t="n">
        <v>-245</v>
      </c>
      <c r="E81" s="151" t="n">
        <v>-245</v>
      </c>
      <c r="F81" s="151" t="n">
        <v>-245</v>
      </c>
      <c r="G81" s="151" t="n">
        <v>-245</v>
      </c>
      <c r="H81" s="151" t="n">
        <v>-245</v>
      </c>
      <c r="I81" s="151" t="n">
        <v>-245</v>
      </c>
      <c r="J81" s="151" t="n">
        <v>-245</v>
      </c>
      <c r="K81" s="151" t="n">
        <v>-245</v>
      </c>
      <c r="L81" s="151" t="n">
        <v>-245</v>
      </c>
      <c r="M81" s="151" t="n">
        <v>-245</v>
      </c>
      <c r="N81" s="151" t="n">
        <v>-245</v>
      </c>
      <c r="O81" s="152" t="n">
        <f aca="false">SUM(C81:N81)</f>
        <v>-2940</v>
      </c>
    </row>
    <row r="82" customFormat="false" ht="15" hidden="false" customHeight="true" outlineLevel="0" collapsed="false">
      <c r="A82" s="123" t="s">
        <v>127</v>
      </c>
      <c r="B82" s="146" t="n">
        <v>273</v>
      </c>
      <c r="C82" s="151" t="n">
        <v>-1179.5</v>
      </c>
      <c r="D82" s="151" t="n">
        <v>-1179.5</v>
      </c>
      <c r="E82" s="151" t="n">
        <v>-1179.5</v>
      </c>
      <c r="F82" s="151" t="n">
        <v>-1179.5</v>
      </c>
      <c r="G82" s="151" t="n">
        <v>-1179.5</v>
      </c>
      <c r="H82" s="151" t="n">
        <v>-1179.5</v>
      </c>
      <c r="I82" s="151" t="n">
        <v>-1179.5</v>
      </c>
      <c r="J82" s="151" t="n">
        <v>-1179.5</v>
      </c>
      <c r="K82" s="151" t="n">
        <v>-1179.5</v>
      </c>
      <c r="L82" s="151" t="n">
        <v>-1179.5</v>
      </c>
      <c r="M82" s="151" t="n">
        <v>-1179.5</v>
      </c>
      <c r="N82" s="151" t="n">
        <v>-1179.5</v>
      </c>
      <c r="O82" s="152" t="n">
        <f aca="false">SUM(C82:N82)</f>
        <v>-14154</v>
      </c>
    </row>
    <row r="83" customFormat="false" ht="15" hidden="false" customHeight="true" outlineLevel="0" collapsed="false">
      <c r="A83" s="123" t="s">
        <v>128</v>
      </c>
      <c r="B83" s="146" t="n">
        <v>274</v>
      </c>
      <c r="C83" s="151" t="n">
        <v>-366.3</v>
      </c>
      <c r="D83" s="151" t="n">
        <v>-366.3</v>
      </c>
      <c r="E83" s="151" t="n">
        <v>-366.3</v>
      </c>
      <c r="F83" s="151" t="n">
        <v>-366.3</v>
      </c>
      <c r="G83" s="151" t="n">
        <v>-366.3</v>
      </c>
      <c r="H83" s="151" t="n">
        <v>-366.3</v>
      </c>
      <c r="I83" s="151" t="n">
        <v>-366.3</v>
      </c>
      <c r="J83" s="151" t="n">
        <v>-366.3</v>
      </c>
      <c r="K83" s="151" t="n">
        <v>-366.3</v>
      </c>
      <c r="L83" s="151" t="n">
        <v>-366.3</v>
      </c>
      <c r="M83" s="151" t="n">
        <v>-366.3</v>
      </c>
      <c r="N83" s="151" t="n">
        <v>-366.3</v>
      </c>
      <c r="O83" s="152" t="n">
        <f aca="false">SUM(C83:N83)</f>
        <v>-4395.6</v>
      </c>
    </row>
    <row r="84" customFormat="false" ht="15" hidden="false" customHeight="true" outlineLevel="0" collapsed="false">
      <c r="A84" s="123" t="s">
        <v>129</v>
      </c>
      <c r="B84" s="146" t="n">
        <v>275</v>
      </c>
      <c r="C84" s="151" t="n">
        <v>-50.07</v>
      </c>
      <c r="D84" s="151" t="n">
        <v>-50.07</v>
      </c>
      <c r="E84" s="151" t="n">
        <v>-50.07</v>
      </c>
      <c r="F84" s="151" t="n">
        <v>-50.07</v>
      </c>
      <c r="G84" s="151" t="n">
        <v>-50.07</v>
      </c>
      <c r="H84" s="151" t="n">
        <v>-50.07</v>
      </c>
      <c r="I84" s="151" t="n">
        <v>-50.07</v>
      </c>
      <c r="J84" s="151" t="n">
        <v>-50.07</v>
      </c>
      <c r="K84" s="151" t="n">
        <v>-50.07</v>
      </c>
      <c r="L84" s="151" t="n">
        <v>-50.07</v>
      </c>
      <c r="M84" s="151" t="n">
        <v>-50.07</v>
      </c>
      <c r="N84" s="151" t="n">
        <v>-50.07</v>
      </c>
      <c r="O84" s="152" t="n">
        <f aca="false">SUM(C84:N84)</f>
        <v>-600.84</v>
      </c>
    </row>
    <row r="85" customFormat="false" ht="15" hidden="false" customHeight="true" outlineLevel="0" collapsed="false">
      <c r="A85" s="123" t="s">
        <v>78</v>
      </c>
      <c r="B85" s="146" t="n">
        <v>276</v>
      </c>
      <c r="C85" s="151" t="n">
        <v>-896.43</v>
      </c>
      <c r="D85" s="151" t="n">
        <v>-896.43</v>
      </c>
      <c r="E85" s="151" t="n">
        <v>-896.43</v>
      </c>
      <c r="F85" s="151" t="n">
        <v>-896.43</v>
      </c>
      <c r="G85" s="151" t="n">
        <v>-896.43</v>
      </c>
      <c r="H85" s="151" t="n">
        <v>-896.43</v>
      </c>
      <c r="I85" s="151" t="n">
        <v>-896.43</v>
      </c>
      <c r="J85" s="151" t="n">
        <v>-896.43</v>
      </c>
      <c r="K85" s="151" t="n">
        <v>-896.43</v>
      </c>
      <c r="L85" s="151" t="n">
        <v>-896.43</v>
      </c>
      <c r="M85" s="151" t="n">
        <v>-896.43</v>
      </c>
      <c r="N85" s="151" t="n">
        <v>-896.43</v>
      </c>
      <c r="O85" s="152" t="n">
        <f aca="false">SUM(C85:N85)</f>
        <v>-10757.16</v>
      </c>
    </row>
    <row r="86" customFormat="false" ht="15" hidden="false" customHeight="true" outlineLevel="0" collapsed="false">
      <c r="A86" s="123" t="s">
        <v>79</v>
      </c>
      <c r="B86" s="146" t="n">
        <v>277</v>
      </c>
      <c r="C86" s="151" t="n">
        <v>-3750</v>
      </c>
      <c r="D86" s="151" t="n">
        <v>-3750</v>
      </c>
      <c r="E86" s="151" t="n">
        <v>-3750</v>
      </c>
      <c r="F86" s="151" t="n">
        <v>-3750</v>
      </c>
      <c r="G86" s="151" t="n">
        <v>-3750</v>
      </c>
      <c r="H86" s="151" t="n">
        <v>-3750</v>
      </c>
      <c r="I86" s="151" t="n">
        <v>-3750</v>
      </c>
      <c r="J86" s="151" t="n">
        <v>-3750</v>
      </c>
      <c r="K86" s="151" t="n">
        <v>-3750</v>
      </c>
      <c r="L86" s="151" t="n">
        <v>-3750</v>
      </c>
      <c r="M86" s="151" t="n">
        <v>-3750</v>
      </c>
      <c r="N86" s="151" t="n">
        <v>-3750</v>
      </c>
      <c r="O86" s="152" t="n">
        <f aca="false">SUM(C86:N86)</f>
        <v>-45000</v>
      </c>
    </row>
    <row r="87" customFormat="false" ht="15" hidden="false" customHeight="true" outlineLevel="0" collapsed="false">
      <c r="A87" s="123" t="s">
        <v>80</v>
      </c>
      <c r="B87" s="146" t="n">
        <v>278</v>
      </c>
      <c r="C87" s="151" t="n">
        <v>-2675.39</v>
      </c>
      <c r="D87" s="151" t="n">
        <v>-2675.39</v>
      </c>
      <c r="E87" s="151" t="n">
        <v>-2675.39</v>
      </c>
      <c r="F87" s="151" t="n">
        <v>-2675.39</v>
      </c>
      <c r="G87" s="151" t="n">
        <v>-2675.39</v>
      </c>
      <c r="H87" s="151" t="n">
        <v>-2675.39</v>
      </c>
      <c r="I87" s="151" t="n">
        <v>-2675.39</v>
      </c>
      <c r="J87" s="151" t="n">
        <v>-2675.39</v>
      </c>
      <c r="K87" s="151" t="n">
        <v>-2675.39</v>
      </c>
      <c r="L87" s="151" t="n">
        <v>-2675.39</v>
      </c>
      <c r="M87" s="151" t="n">
        <v>-2675.39</v>
      </c>
      <c r="N87" s="151" t="n">
        <v>-2675.39</v>
      </c>
      <c r="O87" s="152" t="n">
        <f aca="false">SUM(C87:N87)</f>
        <v>-32104.68</v>
      </c>
    </row>
    <row r="88" customFormat="false" ht="15" hidden="false" customHeight="true" outlineLevel="0" collapsed="false">
      <c r="A88" s="123" t="s">
        <v>81</v>
      </c>
      <c r="B88" s="146" t="n">
        <v>279</v>
      </c>
      <c r="C88" s="151" t="n">
        <v>-28083.33</v>
      </c>
      <c r="D88" s="151" t="n">
        <v>-28083.33</v>
      </c>
      <c r="E88" s="151" t="n">
        <v>-28083.33</v>
      </c>
      <c r="F88" s="151" t="n">
        <v>-28083.33</v>
      </c>
      <c r="G88" s="151" t="n">
        <v>-28083.33</v>
      </c>
      <c r="H88" s="151" t="n">
        <v>-28083.33</v>
      </c>
      <c r="I88" s="151" t="n">
        <v>-28083.33</v>
      </c>
      <c r="J88" s="151" t="n">
        <v>-28083.33</v>
      </c>
      <c r="K88" s="151" t="n">
        <v>-28083.33</v>
      </c>
      <c r="L88" s="151" t="n">
        <v>-28083.33</v>
      </c>
      <c r="M88" s="151" t="n">
        <v>-28083.33</v>
      </c>
      <c r="N88" s="151" t="n">
        <v>-28083.33</v>
      </c>
      <c r="O88" s="152" t="n">
        <f aca="false">SUM(C88:N88)</f>
        <v>-336999.96</v>
      </c>
    </row>
    <row r="89" customFormat="false" ht="15" hidden="false" customHeight="true" outlineLevel="0" collapsed="false">
      <c r="A89" s="123" t="s">
        <v>130</v>
      </c>
      <c r="B89" s="146" t="n">
        <v>280</v>
      </c>
      <c r="C89" s="151" t="n">
        <v>-1586.17</v>
      </c>
      <c r="D89" s="151" t="n">
        <v>-1586.17</v>
      </c>
      <c r="E89" s="151" t="n">
        <v>-1586.17</v>
      </c>
      <c r="F89" s="151" t="n">
        <v>-1586.17</v>
      </c>
      <c r="G89" s="151" t="n">
        <v>-1586.17</v>
      </c>
      <c r="H89" s="151" t="n">
        <v>-1586.17</v>
      </c>
      <c r="I89" s="151" t="n">
        <v>-1586.17</v>
      </c>
      <c r="J89" s="151" t="n">
        <v>-1586.17</v>
      </c>
      <c r="K89" s="151" t="n">
        <v>-1586.17</v>
      </c>
      <c r="L89" s="151" t="n">
        <v>-1586.17</v>
      </c>
      <c r="M89" s="151" t="n">
        <v>-1586.17</v>
      </c>
      <c r="N89" s="151" t="n">
        <v>-1586.17</v>
      </c>
      <c r="O89" s="152" t="n">
        <f aca="false">SUM(C89:N89)</f>
        <v>-19034.04</v>
      </c>
    </row>
    <row r="90" customFormat="false" ht="15" hidden="false" customHeight="true" outlineLevel="0" collapsed="false">
      <c r="A90" s="123" t="s">
        <v>131</v>
      </c>
      <c r="B90" s="146" t="n">
        <v>281</v>
      </c>
      <c r="C90" s="151" t="n">
        <v>-3333.33</v>
      </c>
      <c r="D90" s="151" t="n">
        <v>-3333.33</v>
      </c>
      <c r="E90" s="151" t="n">
        <v>-3333.33</v>
      </c>
      <c r="F90" s="151" t="n">
        <v>-3333.33</v>
      </c>
      <c r="G90" s="151" t="n">
        <v>-3333.33</v>
      </c>
      <c r="H90" s="151" t="n">
        <v>-3333.33</v>
      </c>
      <c r="I90" s="151" t="n">
        <v>-3333.33</v>
      </c>
      <c r="J90" s="151" t="n">
        <v>-3333.33</v>
      </c>
      <c r="K90" s="151" t="n">
        <v>-3333.33</v>
      </c>
      <c r="L90" s="151" t="n">
        <v>-3333.33</v>
      </c>
      <c r="M90" s="151" t="n">
        <v>-3333.33</v>
      </c>
      <c r="N90" s="151" t="n">
        <v>-3333.33</v>
      </c>
      <c r="O90" s="152" t="n">
        <f aca="false">SUM(C90:N90)</f>
        <v>-39999.96</v>
      </c>
    </row>
    <row r="91" customFormat="false" ht="15" hidden="false" customHeight="true" outlineLevel="0" collapsed="false">
      <c r="A91" s="123" t="s">
        <v>132</v>
      </c>
      <c r="B91" s="146" t="n">
        <v>282</v>
      </c>
      <c r="C91" s="151" t="n">
        <v>-1905.31</v>
      </c>
      <c r="D91" s="151" t="n">
        <v>-1905.31</v>
      </c>
      <c r="E91" s="151" t="n">
        <v>-1905.31</v>
      </c>
      <c r="F91" s="151" t="n">
        <v>-1905.31</v>
      </c>
      <c r="G91" s="151" t="n">
        <v>-1905.31</v>
      </c>
      <c r="H91" s="151" t="n">
        <v>-1905.31</v>
      </c>
      <c r="I91" s="151" t="n">
        <v>-1905.31</v>
      </c>
      <c r="J91" s="151" t="n">
        <v>-1905.31</v>
      </c>
      <c r="K91" s="151" t="n">
        <v>-1905.31</v>
      </c>
      <c r="L91" s="151" t="n">
        <v>-1905.31</v>
      </c>
      <c r="M91" s="151" t="n">
        <v>-1905.31</v>
      </c>
      <c r="N91" s="151" t="n">
        <v>-1905.31</v>
      </c>
      <c r="O91" s="152" t="n">
        <f aca="false">SUM(C91:N91)</f>
        <v>-22863.72</v>
      </c>
    </row>
    <row r="92" customFormat="false" ht="15" hidden="false" customHeight="true" outlineLevel="0" collapsed="false">
      <c r="A92" s="123" t="s">
        <v>133</v>
      </c>
      <c r="B92" s="146" t="n">
        <v>283</v>
      </c>
      <c r="C92" s="151" t="n">
        <v>-2100</v>
      </c>
      <c r="D92" s="151" t="n">
        <v>-2100</v>
      </c>
      <c r="E92" s="151" t="n">
        <v>-2100</v>
      </c>
      <c r="F92" s="151" t="n">
        <v>-2100</v>
      </c>
      <c r="G92" s="151" t="n">
        <v>-2100</v>
      </c>
      <c r="H92" s="151" t="n">
        <v>-2100</v>
      </c>
      <c r="I92" s="151" t="n">
        <v>-2100</v>
      </c>
      <c r="J92" s="151" t="n">
        <v>-2100</v>
      </c>
      <c r="K92" s="151" t="n">
        <v>-2100</v>
      </c>
      <c r="L92" s="151" t="n">
        <v>-2100</v>
      </c>
      <c r="M92" s="151" t="n">
        <v>-2100</v>
      </c>
      <c r="N92" s="151" t="n">
        <v>-2100</v>
      </c>
      <c r="O92" s="152" t="n">
        <f aca="false">SUM(C92:N92)</f>
        <v>-25200</v>
      </c>
    </row>
    <row r="93" customFormat="false" ht="15" hidden="false" customHeight="true" outlineLevel="0" collapsed="false">
      <c r="A93" s="123" t="s">
        <v>84</v>
      </c>
      <c r="B93" s="146" t="n">
        <v>284</v>
      </c>
      <c r="C93" s="151" t="n">
        <v>-66666.67</v>
      </c>
      <c r="D93" s="151" t="n">
        <v>-66666.67</v>
      </c>
      <c r="E93" s="151" t="n">
        <v>-66666.67</v>
      </c>
      <c r="F93" s="151" t="n">
        <v>-66666.67</v>
      </c>
      <c r="G93" s="151" t="n">
        <v>-66666.67</v>
      </c>
      <c r="H93" s="151" t="n">
        <v>-66666.67</v>
      </c>
      <c r="I93" s="151" t="n">
        <v>-66666.67</v>
      </c>
      <c r="J93" s="151" t="n">
        <v>-66666.67</v>
      </c>
      <c r="K93" s="151" t="n">
        <v>-66666.67</v>
      </c>
      <c r="L93" s="151" t="n">
        <v>-66666.67</v>
      </c>
      <c r="M93" s="151" t="n">
        <v>-66666.67</v>
      </c>
      <c r="N93" s="151" t="n">
        <v>-66666.67</v>
      </c>
      <c r="O93" s="152" t="n">
        <f aca="false">SUM(C93:N93)</f>
        <v>-800000.04</v>
      </c>
    </row>
    <row r="94" customFormat="false" ht="15" hidden="false" customHeight="true" outlineLevel="0" collapsed="false">
      <c r="A94" s="123" t="s">
        <v>92</v>
      </c>
      <c r="B94" s="146" t="n">
        <v>285</v>
      </c>
      <c r="C94" s="151" t="n">
        <v>-3333.33</v>
      </c>
      <c r="D94" s="151" t="n">
        <v>-3333.33</v>
      </c>
      <c r="E94" s="151" t="n">
        <v>-3333.33</v>
      </c>
      <c r="F94" s="151" t="n">
        <v>-3333.33</v>
      </c>
      <c r="G94" s="151" t="n">
        <v>-3333.33</v>
      </c>
      <c r="H94" s="151" t="n">
        <v>-3333.33</v>
      </c>
      <c r="I94" s="151" t="n">
        <v>-3333.33</v>
      </c>
      <c r="J94" s="151" t="n">
        <v>-3333.33</v>
      </c>
      <c r="K94" s="151" t="n">
        <v>-3333.33</v>
      </c>
      <c r="L94" s="151" t="n">
        <v>-3333.33</v>
      </c>
      <c r="M94" s="151" t="n">
        <v>-3333.33</v>
      </c>
      <c r="N94" s="151" t="n">
        <v>-3333.33</v>
      </c>
      <c r="O94" s="152" t="n">
        <f aca="false">SUM(C94:N94)</f>
        <v>-39999.96</v>
      </c>
    </row>
    <row r="95" customFormat="false" ht="15" hidden="false" customHeight="true" outlineLevel="0" collapsed="false">
      <c r="A95" s="123" t="s">
        <v>93</v>
      </c>
      <c r="B95" s="146" t="n">
        <v>286</v>
      </c>
      <c r="C95" s="151" t="n">
        <v>-446.63</v>
      </c>
      <c r="D95" s="151" t="n">
        <v>-446.63</v>
      </c>
      <c r="E95" s="151" t="n">
        <v>-446.63</v>
      </c>
      <c r="F95" s="151" t="n">
        <v>-446.63</v>
      </c>
      <c r="G95" s="151" t="n">
        <v>-446.63</v>
      </c>
      <c r="H95" s="151" t="n">
        <v>-446.63</v>
      </c>
      <c r="I95" s="151" t="n">
        <v>-446.63</v>
      </c>
      <c r="J95" s="151" t="n">
        <v>-446.63</v>
      </c>
      <c r="K95" s="151" t="n">
        <v>-446.63</v>
      </c>
      <c r="L95" s="151" t="n">
        <v>-446.63</v>
      </c>
      <c r="M95" s="151" t="n">
        <v>-446.63</v>
      </c>
      <c r="N95" s="151" t="n">
        <v>-446.63</v>
      </c>
      <c r="O95" s="152" t="n">
        <f aca="false">SUM(C95:N95)</f>
        <v>-5359.56</v>
      </c>
    </row>
    <row r="96" customFormat="false" ht="15" hidden="false" customHeight="true" outlineLevel="0" collapsed="false">
      <c r="A96" s="123" t="s">
        <v>134</v>
      </c>
      <c r="B96" s="146" t="n">
        <v>287</v>
      </c>
      <c r="C96" s="151" t="n">
        <v>0</v>
      </c>
      <c r="D96" s="151" t="n">
        <v>0</v>
      </c>
      <c r="E96" s="151" t="n">
        <v>0</v>
      </c>
      <c r="F96" s="151" t="n">
        <v>0</v>
      </c>
      <c r="G96" s="151" t="n">
        <v>0</v>
      </c>
      <c r="H96" s="151" t="n">
        <v>0</v>
      </c>
      <c r="I96" s="151" t="n">
        <v>0</v>
      </c>
      <c r="J96" s="151" t="n">
        <v>0</v>
      </c>
      <c r="K96" s="151" t="n">
        <v>0</v>
      </c>
      <c r="L96" s="151" t="n">
        <v>0</v>
      </c>
      <c r="M96" s="151" t="n">
        <v>0</v>
      </c>
      <c r="N96" s="151" t="n">
        <v>0</v>
      </c>
      <c r="O96" s="152" t="n">
        <f aca="false">SUM(C96:N96)</f>
        <v>0</v>
      </c>
    </row>
    <row r="97" customFormat="false" ht="15" hidden="false" customHeight="true" outlineLevel="0" collapsed="false">
      <c r="A97" s="123" t="s">
        <v>135</v>
      </c>
      <c r="B97" s="146" t="n">
        <v>288</v>
      </c>
      <c r="C97" s="151" t="n">
        <v>0</v>
      </c>
      <c r="D97" s="151" t="n">
        <v>0</v>
      </c>
      <c r="E97" s="151" t="n">
        <v>0</v>
      </c>
      <c r="F97" s="151" t="n">
        <v>0</v>
      </c>
      <c r="G97" s="151" t="n">
        <v>0</v>
      </c>
      <c r="H97" s="151" t="n">
        <v>0</v>
      </c>
      <c r="I97" s="151" t="n">
        <v>0</v>
      </c>
      <c r="J97" s="151" t="n">
        <v>0</v>
      </c>
      <c r="K97" s="151" t="n">
        <v>0</v>
      </c>
      <c r="L97" s="151" t="n">
        <v>0</v>
      </c>
      <c r="M97" s="151" t="n">
        <v>0</v>
      </c>
      <c r="N97" s="151" t="n">
        <v>0</v>
      </c>
      <c r="O97" s="152" t="n">
        <f aca="false">SUM(C97:N97)</f>
        <v>0</v>
      </c>
    </row>
    <row r="98" customFormat="false" ht="15" hidden="false" customHeight="true" outlineLevel="0" collapsed="false">
      <c r="A98" s="123" t="s">
        <v>136</v>
      </c>
      <c r="B98" s="146" t="n">
        <v>289</v>
      </c>
      <c r="C98" s="151" t="n">
        <v>0</v>
      </c>
      <c r="D98" s="151" t="n">
        <v>0</v>
      </c>
      <c r="E98" s="151" t="n">
        <v>0</v>
      </c>
      <c r="F98" s="151" t="n">
        <v>0</v>
      </c>
      <c r="G98" s="151" t="n">
        <v>0</v>
      </c>
      <c r="H98" s="151" t="n">
        <v>0</v>
      </c>
      <c r="I98" s="151" t="n">
        <v>0</v>
      </c>
      <c r="J98" s="151" t="n">
        <v>0</v>
      </c>
      <c r="K98" s="151" t="n">
        <v>0</v>
      </c>
      <c r="L98" s="151" t="n">
        <v>0</v>
      </c>
      <c r="M98" s="151" t="n">
        <v>0</v>
      </c>
      <c r="N98" s="151" t="n">
        <v>0</v>
      </c>
      <c r="O98" s="152" t="n">
        <f aca="false">SUM(C98:N98)</f>
        <v>0</v>
      </c>
    </row>
    <row r="99" customFormat="false" ht="15" hidden="false" customHeight="true" outlineLevel="0" collapsed="false">
      <c r="A99" s="123" t="s">
        <v>137</v>
      </c>
      <c r="B99" s="146" t="n">
        <v>290</v>
      </c>
      <c r="C99" s="151" t="n">
        <v>0</v>
      </c>
      <c r="D99" s="151" t="n">
        <v>0</v>
      </c>
      <c r="E99" s="151" t="n">
        <v>0</v>
      </c>
      <c r="F99" s="151" t="n">
        <v>0</v>
      </c>
      <c r="G99" s="151" t="n">
        <v>0</v>
      </c>
      <c r="H99" s="151" t="n">
        <v>0</v>
      </c>
      <c r="I99" s="151" t="n">
        <v>0</v>
      </c>
      <c r="J99" s="151" t="n">
        <v>0</v>
      </c>
      <c r="K99" s="151" t="n">
        <v>0</v>
      </c>
      <c r="L99" s="151" t="n">
        <v>0</v>
      </c>
      <c r="M99" s="151" t="n">
        <v>0</v>
      </c>
      <c r="N99" s="151" t="n">
        <v>0</v>
      </c>
      <c r="O99" s="152" t="n">
        <f aca="false">SUM(C99:N99)</f>
        <v>0</v>
      </c>
    </row>
    <row r="100" customFormat="false" ht="15" hidden="false" customHeight="true" outlineLevel="0" collapsed="false">
      <c r="A100" s="123" t="s">
        <v>138</v>
      </c>
      <c r="B100" s="146" t="n">
        <v>291</v>
      </c>
      <c r="C100" s="151" t="n">
        <v>0</v>
      </c>
      <c r="D100" s="151" t="n">
        <v>0</v>
      </c>
      <c r="E100" s="151" t="n">
        <v>0</v>
      </c>
      <c r="F100" s="151" t="n">
        <v>0</v>
      </c>
      <c r="G100" s="151" t="n">
        <v>0</v>
      </c>
      <c r="H100" s="151" t="n">
        <v>0</v>
      </c>
      <c r="I100" s="151" t="n">
        <v>0</v>
      </c>
      <c r="J100" s="151" t="n">
        <v>0</v>
      </c>
      <c r="K100" s="151" t="n">
        <v>0</v>
      </c>
      <c r="L100" s="151" t="n">
        <v>0</v>
      </c>
      <c r="M100" s="151" t="n">
        <v>0</v>
      </c>
      <c r="N100" s="151" t="n">
        <v>0</v>
      </c>
      <c r="O100" s="152" t="n">
        <f aca="false">SUM(C100:N100)</f>
        <v>0</v>
      </c>
    </row>
    <row r="101" customFormat="false" ht="15" hidden="false" customHeight="true" outlineLevel="0" collapsed="false">
      <c r="A101" s="153" t="s">
        <v>139</v>
      </c>
      <c r="B101" s="146" t="n">
        <v>292</v>
      </c>
      <c r="C101" s="154" t="n">
        <v>-199623.99</v>
      </c>
      <c r="D101" s="154" t="n">
        <v>-197873.99</v>
      </c>
      <c r="E101" s="154" t="n">
        <v>-197873.99</v>
      </c>
      <c r="F101" s="154" t="n">
        <v>-197873.99</v>
      </c>
      <c r="G101" s="154" t="n">
        <v>-196123.99</v>
      </c>
      <c r="H101" s="154" t="n">
        <v>-196123.99</v>
      </c>
      <c r="I101" s="154" t="n">
        <v>-196123.99</v>
      </c>
      <c r="J101" s="154" t="n">
        <v>-196123.99</v>
      </c>
      <c r="K101" s="154" t="n">
        <v>-196123.99</v>
      </c>
      <c r="L101" s="154" t="n">
        <v>-196123.99</v>
      </c>
      <c r="M101" s="154" t="n">
        <v>-196123.99</v>
      </c>
      <c r="N101" s="154" t="n">
        <v>-196123.99</v>
      </c>
      <c r="O101" s="154" t="n">
        <f aca="false">SUM(C101:N101)</f>
        <v>-2362237.88</v>
      </c>
    </row>
    <row r="102" customFormat="false" ht="15" hidden="false" customHeight="true" outlineLevel="0" collapsed="false">
      <c r="A102" s="153" t="s">
        <v>140</v>
      </c>
      <c r="B102" s="146" t="n">
        <v>293</v>
      </c>
      <c r="C102" s="154" t="n">
        <v>-163759.85</v>
      </c>
      <c r="D102" s="154" t="n">
        <v>-158851.96</v>
      </c>
      <c r="E102" s="154" t="n">
        <v>-158851.96</v>
      </c>
      <c r="F102" s="154" t="n">
        <v>-158851.96</v>
      </c>
      <c r="G102" s="154" t="n">
        <v>-157101.96</v>
      </c>
      <c r="H102" s="154" t="n">
        <v>-157101.96</v>
      </c>
      <c r="I102" s="154" t="n">
        <v>-181008.21</v>
      </c>
      <c r="J102" s="154" t="n">
        <v>-181008.21</v>
      </c>
      <c r="K102" s="154" t="n">
        <v>-181008.21</v>
      </c>
      <c r="L102" s="154" t="n">
        <v>-181008.21</v>
      </c>
      <c r="M102" s="154" t="n">
        <v>-181008.21</v>
      </c>
      <c r="N102" s="154" t="n">
        <v>-123633.21</v>
      </c>
      <c r="O102" s="154" t="n">
        <f aca="false">SUM(C102:N102)</f>
        <v>-1983193.91</v>
      </c>
    </row>
    <row r="103" customFormat="false" ht="15" hidden="false" customHeight="true" outlineLevel="0" collapsed="false">
      <c r="A103" s="149" t="s">
        <v>548</v>
      </c>
      <c r="B103" s="150"/>
      <c r="C103" s="150"/>
      <c r="D103" s="150"/>
      <c r="E103" s="150"/>
      <c r="F103" s="150"/>
      <c r="G103" s="150"/>
      <c r="H103" s="150"/>
      <c r="I103" s="150"/>
      <c r="J103" s="150"/>
      <c r="K103" s="150"/>
      <c r="L103" s="150"/>
      <c r="M103" s="150"/>
      <c r="N103" s="150"/>
      <c r="O103" s="150"/>
    </row>
    <row r="104" customFormat="false" ht="15" hidden="false" customHeight="true" outlineLevel="0" collapsed="false">
      <c r="A104" s="123" t="s">
        <v>144</v>
      </c>
      <c r="B104" s="146" t="n">
        <v>297</v>
      </c>
      <c r="C104" s="151" t="n">
        <v>0</v>
      </c>
      <c r="D104" s="151" t="n">
        <v>0</v>
      </c>
      <c r="E104" s="151" t="n">
        <v>800</v>
      </c>
      <c r="F104" s="151" t="n">
        <v>0</v>
      </c>
      <c r="G104" s="151" t="n">
        <v>0</v>
      </c>
      <c r="H104" s="151" t="n">
        <v>0</v>
      </c>
      <c r="I104" s="151" t="n">
        <v>0</v>
      </c>
      <c r="J104" s="151" t="n">
        <v>0</v>
      </c>
      <c r="K104" s="151" t="n">
        <v>0</v>
      </c>
      <c r="L104" s="151" t="n">
        <v>0</v>
      </c>
      <c r="M104" s="151" t="n">
        <v>0</v>
      </c>
      <c r="N104" s="151" t="n">
        <v>0</v>
      </c>
      <c r="O104" s="152" t="n">
        <f aca="false">SUM(C104:N104)</f>
        <v>800</v>
      </c>
    </row>
    <row r="105" customFormat="false" ht="15" hidden="false" customHeight="true" outlineLevel="0" collapsed="false">
      <c r="A105" s="153" t="s">
        <v>151</v>
      </c>
      <c r="B105" s="146" t="n">
        <v>308</v>
      </c>
      <c r="C105" s="154" t="n">
        <v>76711.22</v>
      </c>
      <c r="D105" s="154" t="n">
        <v>89911.38</v>
      </c>
      <c r="E105" s="154" t="n">
        <v>142061</v>
      </c>
      <c r="F105" s="154" t="n">
        <v>-124332.58</v>
      </c>
      <c r="G105" s="154" t="n">
        <v>25739.81</v>
      </c>
      <c r="H105" s="154" t="n">
        <v>-142666.520085203</v>
      </c>
      <c r="I105" s="154" t="n">
        <v>543351.2099148</v>
      </c>
      <c r="J105" s="154" t="n">
        <v>439649.149914798</v>
      </c>
      <c r="K105" s="154" t="n">
        <v>359121.529914798</v>
      </c>
      <c r="L105" s="154" t="n">
        <v>291022.689914798</v>
      </c>
      <c r="M105" s="154" t="n">
        <v>666639.089914798</v>
      </c>
      <c r="N105" s="154" t="n">
        <v>403052.999914798</v>
      </c>
      <c r="O105" s="154" t="n">
        <f aca="false">SUM(C105:N105)</f>
        <v>2770260.97940359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1" width="58"/>
    <col collapsed="false" customWidth="true" hidden="false" outlineLevel="0" max="5" min="2" style="1" width="14"/>
  </cols>
  <sheetData>
    <row r="1" customFormat="false" ht="17.25" hidden="false" customHeight="true" outlineLevel="0" collapsed="false">
      <c r="A1" s="145" t="s">
        <v>549</v>
      </c>
    </row>
    <row r="2" customFormat="false" ht="15" hidden="false" customHeight="true" outlineLevel="0" collapsed="false">
      <c r="A2" s="118" t="s">
        <v>550</v>
      </c>
      <c r="B2" s="155" t="n">
        <v>12</v>
      </c>
    </row>
    <row r="3" customFormat="false" ht="15" hidden="false" customHeight="true" outlineLevel="0" collapsed="false">
      <c r="A3" s="147" t="s">
        <v>551</v>
      </c>
    </row>
    <row r="5" customFormat="false" ht="15" hidden="false" customHeight="true" outlineLevel="0" collapsed="false">
      <c r="A5" s="148" t="s">
        <v>532</v>
      </c>
      <c r="B5" s="148" t="s">
        <v>405</v>
      </c>
      <c r="C5" s="148" t="s">
        <v>552</v>
      </c>
      <c r="D5" s="148" t="s">
        <v>553</v>
      </c>
      <c r="E5" s="148" t="s">
        <v>554</v>
      </c>
    </row>
    <row r="6" customFormat="false" ht="15" hidden="false" customHeight="true" outlineLevel="0" collapsed="false">
      <c r="A6" s="149" t="s">
        <v>384</v>
      </c>
      <c r="B6" s="150"/>
      <c r="C6" s="150"/>
      <c r="D6" s="150"/>
      <c r="E6" s="150"/>
    </row>
    <row r="7" customFormat="false" ht="15" hidden="false" customHeight="true" outlineLevel="0" collapsed="false">
      <c r="A7" s="123" t="str">
        <f aca="false">'Budget FY2027'!A7</f>
        <v>Other GC Income</v>
      </c>
      <c r="B7" s="151" t="n">
        <f aca="false">SUMPRODUCT(('Budget FY2027'!$C$4:$N$4&lt;=$B$2)*'Budget FY2027'!C7:N7)</f>
        <v>7417854.72169955</v>
      </c>
      <c r="C7" s="151" t="n">
        <f aca="false">SUMPRODUCT(('Budget FY2027'!$C$4:$N$4&lt;=$B$2)*Model!N10:Y10)</f>
        <v>5945649.30175837</v>
      </c>
      <c r="D7" s="151" t="n">
        <f aca="false">C7-B7</f>
        <v>-1472205.41994118</v>
      </c>
      <c r="E7" s="156" t="n">
        <f aca="false">IF(ABS(B7)&lt;0.5,"",D7/ABS(B7))</f>
        <v>-0.198467815180381</v>
      </c>
    </row>
    <row r="8" customFormat="false" ht="15" hidden="false" customHeight="true" outlineLevel="0" collapsed="false">
      <c r="A8" s="123" t="str">
        <f aca="false">'Budget FY2027'!A8</f>
        <v>GC Fee Income</v>
      </c>
      <c r="B8" s="151" t="n">
        <f aca="false">SUMPRODUCT(('Budget FY2027'!$C$4:$N$4&lt;=$B$2)*'Budget FY2027'!C8:N8)</f>
        <v>5628332.31770404</v>
      </c>
      <c r="C8" s="151" t="n">
        <f aca="false">SUMPRODUCT(('Budget FY2027'!$C$4:$N$4&lt;=$B$2)*Model!N11:Y11)</f>
        <v>4524183.60264793</v>
      </c>
      <c r="D8" s="151" t="n">
        <f aca="false">C8-B8</f>
        <v>-1104148.71505611</v>
      </c>
      <c r="E8" s="156" t="n">
        <f aca="false">IF(ABS(B8)&lt;0.5,"",D8/ABS(B8))</f>
        <v>-0.196176887349559</v>
      </c>
    </row>
    <row r="9" customFormat="false" ht="15" hidden="false" customHeight="true" outlineLevel="0" collapsed="false">
      <c r="A9" s="123" t="str">
        <f aca="false">'Budget FY2027'!A9</f>
        <v>Total Trades and Site Cost Billing</v>
      </c>
      <c r="B9" s="151" t="n">
        <f aca="false">SUMPRODUCT(('Budget FY2027'!$C$4:$N$4&lt;=$B$2)*'Budget FY2027'!C9:N9)</f>
        <v>94252138.5722897</v>
      </c>
      <c r="C9" s="151" t="n">
        <f aca="false">SUMPRODUCT(('Budget FY2027'!$C$4:$N$4&lt;=$B$2)*Model!N57:Y57)</f>
        <v>77034532.2133675</v>
      </c>
      <c r="D9" s="151" t="n">
        <f aca="false">C9-B9</f>
        <v>-17217606.3589222</v>
      </c>
      <c r="E9" s="156" t="n">
        <f aca="false">IF(ABS(B9)&lt;0.5,"",D9/ABS(B9))</f>
        <v>-0.182676028573258</v>
      </c>
    </row>
    <row r="10" customFormat="false" ht="15" hidden="false" customHeight="true" outlineLevel="0" collapsed="false">
      <c r="A10" s="123" t="str">
        <f aca="false">'Budget FY2027'!A10</f>
        <v>Total COGS - Trade and Site Costs</v>
      </c>
      <c r="B10" s="151" t="n">
        <f aca="false">SUMPRODUCT(('Budget FY2027'!$C$4:$N$4&lt;=$B$2)*'Budget FY2027'!C10:N10)</f>
        <v>-94759610.4022896</v>
      </c>
      <c r="C10" s="151" t="n">
        <f aca="false">SUMPRODUCT(('Budget FY2027'!$C$4:$N$4&lt;=$B$2)*Model!N104:Y104)</f>
        <v>-77542004.0433675</v>
      </c>
      <c r="D10" s="151" t="n">
        <f aca="false">C10-B10</f>
        <v>17217606.3589221</v>
      </c>
      <c r="E10" s="156" t="n">
        <f aca="false">IF(ABS(B10)&lt;0.5,"",D10/ABS(B10))</f>
        <v>0.181697732671409</v>
      </c>
    </row>
    <row r="11" customFormat="false" ht="15" hidden="false" customHeight="true" outlineLevel="0" collapsed="false">
      <c r="A11" s="123" t="str">
        <f aca="false">'Budget FY2027'!A11</f>
        <v>Bonding Program, net (Krueger cash fee; forecast bonds net of bond line less premium)</v>
      </c>
      <c r="B11" s="151" t="n">
        <f aca="false">SUMPRODUCT(('Budget FY2027'!$C$4:$N$4&lt;=$B$2)*'Budget FY2027'!C11:N11)</f>
        <v>-1615478.58</v>
      </c>
      <c r="C11" s="151" t="n">
        <f aca="false">SUMPRODUCT(('Budget FY2027'!$C$4:$N$4&lt;=$B$2)*Model!N196:Y196)</f>
        <v>-583586.299509804</v>
      </c>
      <c r="D11" s="151" t="n">
        <f aca="false">C11-B11</f>
        <v>1031892.2804902</v>
      </c>
      <c r="E11" s="156" t="n">
        <f aca="false">IF(ABS(B11)&lt;0.5,"",D11/ABS(B11))</f>
        <v>0.638753303983886</v>
      </c>
    </row>
    <row r="12" customFormat="false" ht="15" hidden="false" customHeight="true" outlineLevel="0" collapsed="false">
      <c r="A12" s="123" t="str">
        <f aca="false">'Budget FY2027'!A12</f>
        <v>Trade Cost True-Up (LIHTC pass-through: margin from Oct-26 reversed as it arises; pre-Oct actual at completion)</v>
      </c>
      <c r="B12" s="151" t="n">
        <f aca="false">SUMPRODUCT(('Budget FY2027'!$C$4:$N$4&lt;=$B$2)*'Budget FY2027'!C12:N12)</f>
        <v>-7303.12</v>
      </c>
      <c r="C12" s="151" t="n">
        <f aca="false">SUMPRODUCT(('Budget FY2027'!$C$4:$N$4&lt;=$B$2)*Model!N197:Y197)</f>
        <v>-7303.12000000058</v>
      </c>
      <c r="D12" s="151" t="n">
        <f aca="false">C12-B12</f>
        <v>-5.77529135625809E-010</v>
      </c>
      <c r="E12" s="156" t="n">
        <f aca="false">IF(ABS(B12)&lt;0.5,"",D12/ABS(B12))</f>
        <v>-7.90797817406546E-014</v>
      </c>
    </row>
    <row r="13" customFormat="false" ht="15" hidden="false" customHeight="true" outlineLevel="0" collapsed="false">
      <c r="A13" s="123" t="str">
        <f aca="false">'Budget FY2027'!A13</f>
        <v>Buyout Savings - Client Share (paid at completion)</v>
      </c>
      <c r="B13" s="151" t="n">
        <f aca="false">SUMPRODUCT(('Budget FY2027'!$C$4:$N$4&lt;=$B$2)*'Budget FY2027'!C13:N13)</f>
        <v>0</v>
      </c>
      <c r="C13" s="151" t="n">
        <f aca="false">SUMPRODUCT(('Budget FY2027'!$C$4:$N$4&lt;=$B$2)*Model!N198:Y198)</f>
        <v>0</v>
      </c>
      <c r="D13" s="151" t="n">
        <f aca="false">C13-B13</f>
        <v>0</v>
      </c>
      <c r="E13" s="156" t="str">
        <f aca="false">IF(ABS(B13)&lt;0.5,"",D13/ABS(B13))</f>
        <v/>
      </c>
    </row>
    <row r="14" customFormat="false" ht="15" hidden="false" customHeight="true" outlineLevel="0" collapsed="false">
      <c r="A14" s="153" t="str">
        <f aca="false">'Budget FY2027'!A14</f>
        <v>Gross Profit</v>
      </c>
      <c r="B14" s="154" t="n">
        <f aca="false">SUMPRODUCT(('Budget FY2027'!$C$4:$N$4&lt;=$B$2)*'Budget FY2027'!C14:N14)</f>
        <v>10915933.4894036</v>
      </c>
      <c r="C14" s="154" t="n">
        <f aca="false">SUMPRODUCT(('Budget FY2027'!$C$4:$N$4&lt;=$B$2)*Model!N199:Y199)</f>
        <v>9371471.6548965</v>
      </c>
      <c r="D14" s="154" t="n">
        <f aca="false">C14-B14</f>
        <v>-1544461.83450709</v>
      </c>
      <c r="E14" s="156" t="n">
        <f aca="false">IF(ABS(B14)&lt;0.5,"",D14/ABS(B14))</f>
        <v>-0.141486922397095</v>
      </c>
    </row>
    <row r="15" customFormat="false" ht="15" hidden="false" customHeight="true" outlineLevel="0" collapsed="false">
      <c r="A15" s="123" t="str">
        <f aca="false">'Budget FY2027'!A15</f>
        <v>5000-1000 Payroll (incl. LV year-end bonus pool, Assumptions B151:B152)</v>
      </c>
      <c r="B15" s="151" t="n">
        <f aca="false">SUMPRODUCT(('Budget FY2027'!$C$4:$N$4&lt;=$B$2)*'Budget FY2027'!C15:N15)</f>
        <v>-4359322.01</v>
      </c>
      <c r="C15" s="151" t="n">
        <f aca="false">SUMPRODUCT(('Budget FY2027'!$C$4:$N$4&lt;=$B$2)*Model!N203:Y203)</f>
        <v>-3900572</v>
      </c>
      <c r="D15" s="151" t="n">
        <f aca="false">C15-B15</f>
        <v>458750.010000001</v>
      </c>
      <c r="E15" s="156" t="n">
        <f aca="false">IF(ABS(B15)&lt;0.5,"",D15/ABS(B15))</f>
        <v>0.105234256370064</v>
      </c>
    </row>
    <row r="16" customFormat="false" ht="15" hidden="false" customHeight="true" outlineLevel="0" collapsed="false">
      <c r="A16" s="123" t="str">
        <f aca="false">'Budget FY2027'!A16</f>
        <v>5000-1001 Payroll Taxes</v>
      </c>
      <c r="B16" s="151" t="n">
        <f aca="false">SUMPRODUCT(('Budget FY2027'!$C$4:$N$4&lt;=$B$2)*'Budget FY2027'!C16:N16)</f>
        <v>-337177.53</v>
      </c>
      <c r="C16" s="151" t="n">
        <f aca="false">SUMPRODUCT(('Budget FY2027'!$C$4:$N$4&lt;=$B$2)*Model!N204:Y204)</f>
        <v>-305065.04</v>
      </c>
      <c r="D16" s="151" t="n">
        <f aca="false">C16-B16</f>
        <v>32112.4900000001</v>
      </c>
      <c r="E16" s="156" t="n">
        <f aca="false">IF(ABS(B16)&lt;0.5,"",D16/ABS(B16))</f>
        <v>0.0952391163195247</v>
      </c>
    </row>
    <row r="17" customFormat="false" ht="15" hidden="false" customHeight="true" outlineLevel="0" collapsed="false">
      <c r="A17" s="123" t="str">
        <f aca="false">'Budget FY2027'!A17</f>
        <v>SP Allocated to LV</v>
      </c>
      <c r="B17" s="151" t="n">
        <f aca="false">SUMPRODUCT(('Budget FY2027'!$C$4:$N$4&lt;=$B$2)*'Budget FY2027'!C17:N17)</f>
        <v>0</v>
      </c>
      <c r="C17" s="151" t="n">
        <f aca="false">SUMPRODUCT(('Budget FY2027'!$C$4:$N$4&lt;=$B$2)*Model!N205:Y205)</f>
        <v>0</v>
      </c>
      <c r="D17" s="151" t="n">
        <f aca="false">C17-B17</f>
        <v>0</v>
      </c>
      <c r="E17" s="156" t="str">
        <f aca="false">IF(ABS(B17)&lt;0.5,"",D17/ABS(B17))</f>
        <v/>
      </c>
    </row>
    <row r="18" customFormat="false" ht="15" hidden="false" customHeight="true" outlineLevel="0" collapsed="false">
      <c r="A18" s="123" t="str">
        <f aca="false">'Budget FY2027'!A18</f>
        <v>5000-1002 Employee Benefits</v>
      </c>
      <c r="B18" s="151" t="n">
        <f aca="false">SUMPRODUCT(('Budget FY2027'!$C$4:$N$4&lt;=$B$2)*'Budget FY2027'!C18:N18)</f>
        <v>-168588.78</v>
      </c>
      <c r="C18" s="151" t="n">
        <f aca="false">SUMPRODUCT(('Budget FY2027'!$C$4:$N$4&lt;=$B$2)*Model!N206:Y206)</f>
        <v>-152532.52</v>
      </c>
      <c r="D18" s="151" t="n">
        <f aca="false">C18-B18</f>
        <v>16056.2599999999</v>
      </c>
      <c r="E18" s="156" t="n">
        <f aca="false">IF(ABS(B18)&lt;0.5,"",D18/ABS(B18))</f>
        <v>0.0952391968196215</v>
      </c>
    </row>
    <row r="19" customFormat="false" ht="15" hidden="false" customHeight="true" outlineLevel="0" collapsed="false">
      <c r="A19" s="123" t="str">
        <f aca="false">'Budget FY2027'!A19</f>
        <v>5000-1003 Workers Comp</v>
      </c>
      <c r="B19" s="151" t="n">
        <f aca="false">SUMPRODUCT(('Budget FY2027'!$C$4:$N$4&lt;=$B$2)*'Budget FY2027'!C19:N19)</f>
        <v>-14450.49</v>
      </c>
      <c r="C19" s="151" t="n">
        <f aca="false">SUMPRODUCT(('Budget FY2027'!$C$4:$N$4&lt;=$B$2)*Model!N207:Y207)</f>
        <v>-13074.216</v>
      </c>
      <c r="D19" s="151" t="n">
        <f aca="false">C19-B19</f>
        <v>1376.274</v>
      </c>
      <c r="E19" s="156" t="n">
        <f aca="false">IF(ABS(B19)&lt;0.5,"",D19/ABS(B19))</f>
        <v>0.0952406458189307</v>
      </c>
    </row>
    <row r="20" customFormat="false" ht="15" hidden="false" customHeight="true" outlineLevel="0" collapsed="false">
      <c r="A20" s="123" t="str">
        <f aca="false">'Budget FY2027'!A20</f>
        <v>5000-1005 Payroll Servicing Fees</v>
      </c>
      <c r="B20" s="151" t="n">
        <f aca="false">SUMPRODUCT(('Budget FY2027'!$C$4:$N$4&lt;=$B$2)*'Budget FY2027'!C20:N20)</f>
        <v>-24084.12</v>
      </c>
      <c r="C20" s="151" t="n">
        <f aca="false">SUMPRODUCT(('Budget FY2027'!$C$4:$N$4&lt;=$B$2)*Model!N208:Y208)</f>
        <v>-21790.36</v>
      </c>
      <c r="D20" s="151" t="n">
        <f aca="false">C20-B20</f>
        <v>2293.75999999999</v>
      </c>
      <c r="E20" s="156" t="n">
        <f aca="false">IF(ABS(B20)&lt;0.5,"",D20/ABS(B20))</f>
        <v>0.0952395188198692</v>
      </c>
    </row>
    <row r="21" customFormat="false" ht="15" hidden="false" customHeight="true" outlineLevel="0" collapsed="false">
      <c r="A21" s="123" t="str">
        <f aca="false">'Budget FY2027'!A21</f>
        <v>5000-1007 Payroll - Consultants</v>
      </c>
      <c r="B21" s="151" t="n">
        <f aca="false">SUMPRODUCT(('Budget FY2027'!$C$4:$N$4&lt;=$B$2)*'Budget FY2027'!C21:N21)</f>
        <v>-200000.04</v>
      </c>
      <c r="C21" s="151" t="n">
        <f aca="false">SUMPRODUCT(('Budget FY2027'!$C$4:$N$4&lt;=$B$2)*Model!N209:Y209)</f>
        <v>-200000</v>
      </c>
      <c r="D21" s="151" t="n">
        <f aca="false">C21-B21</f>
        <v>0.0399999999790452</v>
      </c>
      <c r="E21" s="156" t="n">
        <f aca="false">IF(ABS(B21)&lt;0.5,"",D21/ABS(B21))</f>
        <v>1.99999959895234E-007</v>
      </c>
    </row>
    <row r="22" customFormat="false" ht="15" hidden="false" customHeight="true" outlineLevel="0" collapsed="false">
      <c r="A22" s="123" t="str">
        <f aca="false">'Budget FY2027'!A22</f>
        <v>5000-1018 Payroll - Self Performed Trades</v>
      </c>
      <c r="B22" s="151" t="n">
        <f aca="false">SUMPRODUCT(('Budget FY2027'!$C$4:$N$4&lt;=$B$2)*'Budget FY2027'!C22:N22)</f>
        <v>0</v>
      </c>
      <c r="C22" s="151" t="n">
        <f aca="false">SUMPRODUCT(('Budget FY2027'!$C$4:$N$4&lt;=$B$2)*Model!N210:Y210)</f>
        <v>0</v>
      </c>
      <c r="D22" s="151" t="n">
        <f aca="false">C22-B22</f>
        <v>0</v>
      </c>
      <c r="E22" s="156" t="str">
        <f aca="false">IF(ABS(B22)&lt;0.5,"",D22/ABS(B22))</f>
        <v/>
      </c>
    </row>
    <row r="23" customFormat="false" ht="15" hidden="false" customHeight="true" outlineLevel="0" collapsed="false">
      <c r="A23" s="123" t="str">
        <f aca="false">'Budget FY2027'!A23</f>
        <v>5100-1000 Rent Expense</v>
      </c>
      <c r="B23" s="151" t="n">
        <f aca="false">SUMPRODUCT(('Budget FY2027'!$C$4:$N$4&lt;=$B$2)*'Budget FY2027'!C23:N23)</f>
        <v>-180000</v>
      </c>
      <c r="C23" s="151" t="n">
        <f aca="false">SUMPRODUCT(('Budget FY2027'!$C$4:$N$4&lt;=$B$2)*Model!N211:Y211)</f>
        <v>-180000</v>
      </c>
      <c r="D23" s="151" t="n">
        <f aca="false">C23-B23</f>
        <v>0</v>
      </c>
      <c r="E23" s="156" t="n">
        <f aca="false">IF(ABS(B23)&lt;0.5,"",D23/ABS(B23))</f>
        <v>0</v>
      </c>
    </row>
    <row r="24" customFormat="false" ht="15" hidden="false" customHeight="true" outlineLevel="0" collapsed="false">
      <c r="A24" s="123" t="str">
        <f aca="false">'Budget FY2027'!A24</f>
        <v>5200-1000 Office Supplies and Expenses</v>
      </c>
      <c r="B24" s="151" t="n">
        <f aca="false">SUMPRODUCT(('Budget FY2027'!$C$4:$N$4&lt;=$B$2)*'Budget FY2027'!C24:N24)</f>
        <v>-48295.68</v>
      </c>
      <c r="C24" s="151" t="n">
        <f aca="false">SUMPRODUCT(('Budget FY2027'!$C$4:$N$4&lt;=$B$2)*Model!N212:Y212)</f>
        <v>-48295.68</v>
      </c>
      <c r="D24" s="151" t="n">
        <f aca="false">C24-B24</f>
        <v>0</v>
      </c>
      <c r="E24" s="156" t="n">
        <f aca="false">IF(ABS(B24)&lt;0.5,"",D24/ABS(B24))</f>
        <v>0</v>
      </c>
    </row>
    <row r="25" customFormat="false" ht="15" hidden="false" customHeight="true" outlineLevel="0" collapsed="false">
      <c r="A25" s="123" t="str">
        <f aca="false">'Budget FY2027'!A25</f>
        <v>5200-1002 Printing and Reproduction</v>
      </c>
      <c r="B25" s="151" t="n">
        <f aca="false">SUMPRODUCT(('Budget FY2027'!$C$4:$N$4&lt;=$B$2)*'Budget FY2027'!C25:N25)</f>
        <v>-4309.56</v>
      </c>
      <c r="C25" s="151" t="n">
        <f aca="false">SUMPRODUCT(('Budget FY2027'!$C$4:$N$4&lt;=$B$2)*Model!N213:Y213)</f>
        <v>-4309.56</v>
      </c>
      <c r="D25" s="151" t="n">
        <f aca="false">C25-B25</f>
        <v>0</v>
      </c>
      <c r="E25" s="156" t="n">
        <f aca="false">IF(ABS(B25)&lt;0.5,"",D25/ABS(B25))</f>
        <v>0</v>
      </c>
    </row>
    <row r="26" customFormat="false" ht="15" hidden="false" customHeight="true" outlineLevel="0" collapsed="false">
      <c r="A26" s="123" t="str">
        <f aca="false">'Budget FY2027'!A26</f>
        <v>5200-1050 Computer and IT Expenses</v>
      </c>
      <c r="B26" s="151" t="n">
        <f aca="false">SUMPRODUCT(('Budget FY2027'!$C$4:$N$4&lt;=$B$2)*'Budget FY2027'!C26:N26)</f>
        <v>-315.96</v>
      </c>
      <c r="C26" s="151" t="n">
        <f aca="false">SUMPRODUCT(('Budget FY2027'!$C$4:$N$4&lt;=$B$2)*Model!N214:Y214)</f>
        <v>-315.96</v>
      </c>
      <c r="D26" s="151" t="n">
        <f aca="false">C26-B26</f>
        <v>0</v>
      </c>
      <c r="E26" s="156" t="n">
        <f aca="false">IF(ABS(B26)&lt;0.5,"",D26/ABS(B26))</f>
        <v>0</v>
      </c>
    </row>
    <row r="27" customFormat="false" ht="15" hidden="false" customHeight="true" outlineLevel="0" collapsed="false">
      <c r="A27" s="123" t="str">
        <f aca="false">'Budget FY2027'!A27</f>
        <v>5200-1053 IT Software and Subscriptions (incl. pay-app automation, Assumptions B153:B155)</v>
      </c>
      <c r="B27" s="151" t="n">
        <f aca="false">SUMPRODUCT(('Budget FY2027'!$C$4:$N$4&lt;=$B$2)*'Budget FY2027'!C27:N27)</f>
        <v>-158609.6</v>
      </c>
      <c r="C27" s="151" t="n">
        <f aca="false">SUMPRODUCT(('Budget FY2027'!$C$4:$N$4&lt;=$B$2)*Model!N215:Y215)</f>
        <v>-158609.6</v>
      </c>
      <c r="D27" s="151" t="n">
        <f aca="false">C27-B27</f>
        <v>0</v>
      </c>
      <c r="E27" s="156" t="n">
        <f aca="false">IF(ABS(B27)&lt;0.5,"",D27/ABS(B27))</f>
        <v>0</v>
      </c>
    </row>
    <row r="28" customFormat="false" ht="15" hidden="false" customHeight="true" outlineLevel="0" collapsed="false">
      <c r="A28" s="123" t="str">
        <f aca="false">'Budget FY2027'!A28</f>
        <v>5200-1054 Telephone Expenses</v>
      </c>
      <c r="B28" s="151" t="n">
        <f aca="false">SUMPRODUCT(('Budget FY2027'!$C$4:$N$4&lt;=$B$2)*'Budget FY2027'!C28:N28)</f>
        <v>-8832.36</v>
      </c>
      <c r="C28" s="151" t="n">
        <f aca="false">SUMPRODUCT(('Budget FY2027'!$C$4:$N$4&lt;=$B$2)*Model!N216:Y216)</f>
        <v>-8832.36</v>
      </c>
      <c r="D28" s="151" t="n">
        <f aca="false">C28-B28</f>
        <v>0</v>
      </c>
      <c r="E28" s="156" t="n">
        <f aca="false">IF(ABS(B28)&lt;0.5,"",D28/ABS(B28))</f>
        <v>0</v>
      </c>
    </row>
    <row r="29" customFormat="false" ht="15" hidden="false" customHeight="true" outlineLevel="0" collapsed="false">
      <c r="A29" s="123" t="str">
        <f aca="false">'Budget FY2027'!A29</f>
        <v>5300-1050 Meals and Entertainment</v>
      </c>
      <c r="B29" s="151" t="n">
        <f aca="false">SUMPRODUCT(('Budget FY2027'!$C$4:$N$4&lt;=$B$2)*'Budget FY2027'!C29:N29)</f>
        <v>-13615.44</v>
      </c>
      <c r="C29" s="151" t="n">
        <f aca="false">SUMPRODUCT(('Budget FY2027'!$C$4:$N$4&lt;=$B$2)*Model!N217:Y217)</f>
        <v>-13615.44</v>
      </c>
      <c r="D29" s="151" t="n">
        <f aca="false">C29-B29</f>
        <v>0</v>
      </c>
      <c r="E29" s="156" t="n">
        <f aca="false">IF(ABS(B29)&lt;0.5,"",D29/ABS(B29))</f>
        <v>0</v>
      </c>
    </row>
    <row r="30" customFormat="false" ht="15" hidden="false" customHeight="true" outlineLevel="0" collapsed="false">
      <c r="A30" s="123" t="str">
        <f aca="false">'Budget FY2027'!A30</f>
        <v>5500-1000 Legal and Professional Fees</v>
      </c>
      <c r="B30" s="151" t="n">
        <f aca="false">SUMPRODUCT(('Budget FY2027'!$C$4:$N$4&lt;=$B$2)*'Budget FY2027'!C30:N30)</f>
        <v>-15249.96</v>
      </c>
      <c r="C30" s="151" t="n">
        <f aca="false">SUMPRODUCT(('Budget FY2027'!$C$4:$N$4&lt;=$B$2)*Model!N218:Y218)</f>
        <v>-15249.96</v>
      </c>
      <c r="D30" s="151" t="n">
        <f aca="false">C30-B30</f>
        <v>0</v>
      </c>
      <c r="E30" s="156" t="n">
        <f aca="false">IF(ABS(B30)&lt;0.5,"",D30/ABS(B30))</f>
        <v>0</v>
      </c>
    </row>
    <row r="31" customFormat="false" ht="15" hidden="false" customHeight="true" outlineLevel="0" collapsed="false">
      <c r="A31" s="123" t="str">
        <f aca="false">'Budget FY2027'!A31</f>
        <v>5500-1002 Accounting Consulting and Overhead</v>
      </c>
      <c r="B31" s="151" t="n">
        <f aca="false">SUMPRODUCT(('Budget FY2027'!$C$4:$N$4&lt;=$B$2)*'Budget FY2027'!C31:N31)</f>
        <v>-70995.96</v>
      </c>
      <c r="C31" s="151" t="n">
        <f aca="false">SUMPRODUCT(('Budget FY2027'!$C$4:$N$4&lt;=$B$2)*Model!N219:Y219)</f>
        <v>-70995.96</v>
      </c>
      <c r="D31" s="151" t="n">
        <f aca="false">C31-B31</f>
        <v>0</v>
      </c>
      <c r="E31" s="156" t="n">
        <f aca="false">IF(ABS(B31)&lt;0.5,"",D31/ABS(B31))</f>
        <v>0</v>
      </c>
    </row>
    <row r="32" customFormat="false" ht="15" hidden="false" customHeight="true" outlineLevel="0" collapsed="false">
      <c r="A32" s="123" t="str">
        <f aca="false">'Budget FY2027'!A32</f>
        <v>5500-1004 Consultants and Other Professional Expenses</v>
      </c>
      <c r="B32" s="151" t="n">
        <f aca="false">SUMPRODUCT(('Budget FY2027'!$C$4:$N$4&lt;=$B$2)*'Budget FY2027'!C32:N32)</f>
        <v>-3001.56</v>
      </c>
      <c r="C32" s="151" t="n">
        <f aca="false">SUMPRODUCT(('Budget FY2027'!$C$4:$N$4&lt;=$B$2)*Model!N220:Y220)</f>
        <v>-3001.56</v>
      </c>
      <c r="D32" s="151" t="n">
        <f aca="false">C32-B32</f>
        <v>0</v>
      </c>
      <c r="E32" s="156" t="n">
        <f aca="false">IF(ABS(B32)&lt;0.5,"",D32/ABS(B32))</f>
        <v>0</v>
      </c>
    </row>
    <row r="33" customFormat="false" ht="15" hidden="false" customHeight="true" outlineLevel="0" collapsed="false">
      <c r="A33" s="123" t="str">
        <f aca="false">'Budget FY2027'!A33</f>
        <v>5500-1050 General Insurance</v>
      </c>
      <c r="B33" s="151" t="n">
        <f aca="false">SUMPRODUCT(('Budget FY2027'!$C$4:$N$4&lt;=$B$2)*'Budget FY2027'!C33:N33)</f>
        <v>-21010.92</v>
      </c>
      <c r="C33" s="151" t="n">
        <f aca="false">SUMPRODUCT(('Budget FY2027'!$C$4:$N$4&lt;=$B$2)*Model!N221:Y221)</f>
        <v>-21010.92</v>
      </c>
      <c r="D33" s="151" t="n">
        <f aca="false">C33-B33</f>
        <v>0</v>
      </c>
      <c r="E33" s="156" t="n">
        <f aca="false">IF(ABS(B33)&lt;0.5,"",D33/ABS(B33))</f>
        <v>0</v>
      </c>
    </row>
    <row r="34" customFormat="false" ht="15" hidden="false" customHeight="true" outlineLevel="0" collapsed="false">
      <c r="A34" s="123" t="str">
        <f aca="false">'Budget FY2027'!A34</f>
        <v>5700-1003 Other Utilities</v>
      </c>
      <c r="B34" s="151" t="n">
        <f aca="false">SUMPRODUCT(('Budget FY2027'!$C$4:$N$4&lt;=$B$2)*'Budget FY2027'!C34:N34)</f>
        <v>-23864.04</v>
      </c>
      <c r="C34" s="151" t="n">
        <f aca="false">SUMPRODUCT(('Budget FY2027'!$C$4:$N$4&lt;=$B$2)*Model!N222:Y222)</f>
        <v>-23864.04</v>
      </c>
      <c r="D34" s="151" t="n">
        <f aca="false">C34-B34</f>
        <v>0</v>
      </c>
      <c r="E34" s="156" t="n">
        <f aca="false">IF(ABS(B34)&lt;0.5,"",D34/ABS(B34))</f>
        <v>0</v>
      </c>
    </row>
    <row r="35" customFormat="false" ht="15" hidden="false" customHeight="true" outlineLevel="0" collapsed="false">
      <c r="A35" s="123" t="str">
        <f aca="false">'Budget FY2027'!A35</f>
        <v>5800-1003 Consulting Fee</v>
      </c>
      <c r="B35" s="151" t="n">
        <f aca="false">SUMPRODUCT(('Budget FY2027'!$C$4:$N$4&lt;=$B$2)*'Budget FY2027'!C35:N35)</f>
        <v>-130500</v>
      </c>
      <c r="C35" s="151" t="n">
        <f aca="false">SUMPRODUCT(('Budget FY2027'!$C$4:$N$4&lt;=$B$2)*Model!N223:Y223)</f>
        <v>-52500</v>
      </c>
      <c r="D35" s="151" t="n">
        <f aca="false">C35-B35</f>
        <v>78000</v>
      </c>
      <c r="E35" s="156" t="n">
        <f aca="false">IF(ABS(B35)&lt;0.5,"",D35/ABS(B35))</f>
        <v>0.597701149425287</v>
      </c>
    </row>
    <row r="36" customFormat="false" ht="15" hidden="false" customHeight="true" outlineLevel="0" collapsed="false">
      <c r="A36" s="123" t="str">
        <f aca="false">'Budget FY2027'!A36</f>
        <v>5900-1000 Security Monitoring</v>
      </c>
      <c r="B36" s="151" t="n">
        <f aca="false">SUMPRODUCT(('Budget FY2027'!$C$4:$N$4&lt;=$B$2)*'Budget FY2027'!C36:N36)</f>
        <v>-660</v>
      </c>
      <c r="C36" s="151" t="n">
        <f aca="false">SUMPRODUCT(('Budget FY2027'!$C$4:$N$4&lt;=$B$2)*Model!N224:Y224)</f>
        <v>-660</v>
      </c>
      <c r="D36" s="151" t="n">
        <f aca="false">C36-B36</f>
        <v>0</v>
      </c>
      <c r="E36" s="156" t="n">
        <f aca="false">IF(ABS(B36)&lt;0.5,"",D36/ABS(B36))</f>
        <v>0</v>
      </c>
    </row>
    <row r="37" customFormat="false" ht="15" hidden="false" customHeight="true" outlineLevel="0" collapsed="false">
      <c r="A37" s="123" t="str">
        <f aca="false">'Budget FY2027'!A37</f>
        <v>5900-1002 Repairs and Maintenance</v>
      </c>
      <c r="B37" s="151" t="n">
        <f aca="false">SUMPRODUCT(('Budget FY2027'!$C$4:$N$4&lt;=$B$2)*'Budget FY2027'!C37:N37)</f>
        <v>0</v>
      </c>
      <c r="C37" s="151" t="n">
        <f aca="false">SUMPRODUCT(('Budget FY2027'!$C$4:$N$4&lt;=$B$2)*Model!N225:Y225)</f>
        <v>0</v>
      </c>
      <c r="D37" s="151" t="n">
        <f aca="false">C37-B37</f>
        <v>0</v>
      </c>
      <c r="E37" s="156" t="str">
        <f aca="false">IF(ABS(B37)&lt;0.5,"",D37/ABS(B37))</f>
        <v/>
      </c>
    </row>
    <row r="38" customFormat="false" ht="15" hidden="false" customHeight="true" outlineLevel="0" collapsed="false">
      <c r="A38" s="123" t="str">
        <f aca="false">'Budget FY2027'!A38</f>
        <v>5900-1003 Janitorial and Cleaning Expenses</v>
      </c>
      <c r="B38" s="151" t="n">
        <f aca="false">SUMPRODUCT(('Budget FY2027'!$C$4:$N$4&lt;=$B$2)*'Budget FY2027'!C38:N38)</f>
        <v>-6600</v>
      </c>
      <c r="C38" s="151" t="n">
        <f aca="false">SUMPRODUCT(('Budget FY2027'!$C$4:$N$4&lt;=$B$2)*Model!N226:Y226)</f>
        <v>-6600</v>
      </c>
      <c r="D38" s="151" t="n">
        <f aca="false">C38-B38</f>
        <v>0</v>
      </c>
      <c r="E38" s="156" t="n">
        <f aca="false">IF(ABS(B38)&lt;0.5,"",D38/ABS(B38))</f>
        <v>0</v>
      </c>
    </row>
    <row r="39" customFormat="false" ht="15" hidden="false" customHeight="true" outlineLevel="0" collapsed="false">
      <c r="A39" s="123" t="str">
        <f aca="false">'Budget FY2027'!A39</f>
        <v>5900-1005 Supplies and Other Job Site Overhead</v>
      </c>
      <c r="B39" s="151" t="n">
        <f aca="false">SUMPRODUCT(('Budget FY2027'!$C$4:$N$4&lt;=$B$2)*'Budget FY2027'!C39:N39)</f>
        <v>-211657.68</v>
      </c>
      <c r="C39" s="151" t="n">
        <f aca="false">SUMPRODUCT(('Budget FY2027'!$C$4:$N$4&lt;=$B$2)*Model!N227:Y227)</f>
        <v>-211657.68</v>
      </c>
      <c r="D39" s="151" t="n">
        <f aca="false">C39-B39</f>
        <v>0</v>
      </c>
      <c r="E39" s="156" t="n">
        <f aca="false">IF(ABS(B39)&lt;0.5,"",D39/ABS(B39))</f>
        <v>0</v>
      </c>
    </row>
    <row r="40" customFormat="false" ht="15" hidden="false" customHeight="true" outlineLevel="0" collapsed="false">
      <c r="A40" s="123" t="str">
        <f aca="false">'Budget FY2027'!A40</f>
        <v>5900-1006 Auto and Truck Expense</v>
      </c>
      <c r="B40" s="151" t="n">
        <f aca="false">SUMPRODUCT(('Budget FY2027'!$C$4:$N$4&lt;=$B$2)*'Budget FY2027'!C40:N40)</f>
        <v>-17067.96</v>
      </c>
      <c r="C40" s="151" t="n">
        <f aca="false">SUMPRODUCT(('Budget FY2027'!$C$4:$N$4&lt;=$B$2)*Model!N228:Y228)</f>
        <v>-17067.96</v>
      </c>
      <c r="D40" s="151" t="n">
        <f aca="false">C40-B40</f>
        <v>0</v>
      </c>
      <c r="E40" s="156" t="n">
        <f aca="false">IF(ABS(B40)&lt;0.5,"",D40/ABS(B40))</f>
        <v>0</v>
      </c>
    </row>
    <row r="41" customFormat="false" ht="15" hidden="false" customHeight="true" outlineLevel="0" collapsed="false">
      <c r="A41" s="123" t="str">
        <f aca="false">'Budget FY2027'!A41</f>
        <v>5900-1007 Landscaping</v>
      </c>
      <c r="B41" s="151" t="n">
        <f aca="false">SUMPRODUCT(('Budget FY2027'!$C$4:$N$4&lt;=$B$2)*'Budget FY2027'!C41:N41)</f>
        <v>-1920</v>
      </c>
      <c r="C41" s="151" t="n">
        <f aca="false">SUMPRODUCT(('Budget FY2027'!$C$4:$N$4&lt;=$B$2)*Model!N229:Y229)</f>
        <v>-1920</v>
      </c>
      <c r="D41" s="151" t="n">
        <f aca="false">C41-B41</f>
        <v>0</v>
      </c>
      <c r="E41" s="156" t="n">
        <f aca="false">IF(ABS(B41)&lt;0.5,"",D41/ABS(B41))</f>
        <v>0</v>
      </c>
    </row>
    <row r="42" customFormat="false" ht="15" hidden="false" customHeight="true" outlineLevel="0" collapsed="false">
      <c r="A42" s="123" t="str">
        <f aca="false">'Budget FY2027'!A42</f>
        <v>5900-1040 Warranty and Other Job Adjustments</v>
      </c>
      <c r="B42" s="151" t="n">
        <f aca="false">SUMPRODUCT(('Budget FY2027'!$C$4:$N$4&lt;=$B$2)*'Budget FY2027'!C42:N42)</f>
        <v>-60000</v>
      </c>
      <c r="C42" s="151" t="n">
        <f aca="false">SUMPRODUCT(('Budget FY2027'!$C$4:$N$4&lt;=$B$2)*Model!N230:Y230)</f>
        <v>-60000</v>
      </c>
      <c r="D42" s="151" t="n">
        <f aca="false">C42-B42</f>
        <v>0</v>
      </c>
      <c r="E42" s="156" t="n">
        <f aca="false">IF(ABS(B42)&lt;0.5,"",D42/ABS(B42))</f>
        <v>0</v>
      </c>
    </row>
    <row r="43" customFormat="false" ht="15" hidden="false" customHeight="true" outlineLevel="0" collapsed="false">
      <c r="A43" s="123" t="str">
        <f aca="false">'Budget FY2027'!A43</f>
        <v>5900-1075 Miscellaneous Expense</v>
      </c>
      <c r="B43" s="151" t="n">
        <f aca="false">SUMPRODUCT(('Budget FY2027'!$C$4:$N$4&lt;=$B$2)*'Budget FY2027'!C43:N43)</f>
        <v>-5011.2</v>
      </c>
      <c r="C43" s="151" t="n">
        <f aca="false">SUMPRODUCT(('Budget FY2027'!$C$4:$N$4&lt;=$B$2)*Model!N231:Y231)</f>
        <v>-5011.2</v>
      </c>
      <c r="D43" s="151" t="n">
        <f aca="false">C43-B43</f>
        <v>0</v>
      </c>
      <c r="E43" s="156" t="n">
        <f aca="false">IF(ABS(B43)&lt;0.5,"",D43/ABS(B43))</f>
        <v>0</v>
      </c>
    </row>
    <row r="44" customFormat="false" ht="15" hidden="false" customHeight="true" outlineLevel="0" collapsed="false">
      <c r="A44" s="123" t="str">
        <f aca="false">'Budget FY2027'!A44</f>
        <v>5900-1080 Bank Service Charges</v>
      </c>
      <c r="B44" s="151" t="n">
        <f aca="false">SUMPRODUCT(('Budget FY2027'!$C$4:$N$4&lt;=$B$2)*'Budget FY2027'!C44:N44)</f>
        <v>-320.04</v>
      </c>
      <c r="C44" s="151" t="n">
        <f aca="false">SUMPRODUCT(('Budget FY2027'!$C$4:$N$4&lt;=$B$2)*Model!N232:Y232)</f>
        <v>-320.04</v>
      </c>
      <c r="D44" s="151" t="n">
        <f aca="false">C44-B44</f>
        <v>0</v>
      </c>
      <c r="E44" s="156" t="n">
        <f aca="false">IF(ABS(B44)&lt;0.5,"",D44/ABS(B44))</f>
        <v>0</v>
      </c>
    </row>
    <row r="45" customFormat="false" ht="15" hidden="false" customHeight="true" outlineLevel="0" collapsed="false">
      <c r="A45" s="123" t="str">
        <f aca="false">'Budget FY2027'!A45</f>
        <v>5900-3000 Charitable Contribution</v>
      </c>
      <c r="B45" s="151" t="n">
        <f aca="false">SUMPRODUCT(('Budget FY2027'!$C$4:$N$4&lt;=$B$2)*'Budget FY2027'!C45:N45)</f>
        <v>-252</v>
      </c>
      <c r="C45" s="151" t="n">
        <f aca="false">SUMPRODUCT(('Budget FY2027'!$C$4:$N$4&lt;=$B$2)*Model!N233:Y233)</f>
        <v>-252</v>
      </c>
      <c r="D45" s="151" t="n">
        <f aca="false">C45-B45</f>
        <v>0</v>
      </c>
      <c r="E45" s="156" t="n">
        <f aca="false">IF(ABS(B45)&lt;0.5,"",D45/ABS(B45))</f>
        <v>0</v>
      </c>
    </row>
    <row r="46" customFormat="false" ht="15" hidden="false" customHeight="true" outlineLevel="0" collapsed="false">
      <c r="A46" s="123" t="str">
        <f aca="false">'Budget FY2027'!A46</f>
        <v>BD Commission</v>
      </c>
      <c r="B46" s="151" t="n">
        <f aca="false">SUMPRODUCT(('Budget FY2027'!$C$4:$N$4&lt;=$B$2)*'Budget FY2027'!C46:N46)</f>
        <v>-62565.83</v>
      </c>
      <c r="C46" s="151" t="n">
        <f aca="false">SUMPRODUCT(('Budget FY2027'!$C$4:$N$4&lt;=$B$2)*Model!N234:Y234)</f>
        <v>0</v>
      </c>
      <c r="D46" s="151" t="n">
        <f aca="false">C46-B46</f>
        <v>62565.83</v>
      </c>
      <c r="E46" s="156" t="n">
        <f aca="false">IF(ABS(B46)&lt;0.5,"",D46/ABS(B46))</f>
        <v>1</v>
      </c>
    </row>
    <row r="47" customFormat="false" ht="15" hidden="false" customHeight="true" outlineLevel="0" collapsed="false">
      <c r="A47" s="123" t="str">
        <f aca="false">'Budget FY2027'!A47</f>
        <v>8200-2000 State Tax and Fees</v>
      </c>
      <c r="B47" s="151" t="n">
        <f aca="false">SUMPRODUCT(('Budget FY2027'!$C$4:$N$4&lt;=$B$2)*'Budget FY2027'!C47:N47)</f>
        <v>-15000</v>
      </c>
      <c r="C47" s="151" t="n">
        <f aca="false">SUMPRODUCT(('Budget FY2027'!$C$4:$N$4&lt;=$B$2)*Model!N235:Y235)</f>
        <v>-15000</v>
      </c>
      <c r="D47" s="151" t="n">
        <f aca="false">C47-B47</f>
        <v>0</v>
      </c>
      <c r="E47" s="156" t="n">
        <f aca="false">IF(ABS(B47)&lt;0.5,"",D47/ABS(B47))</f>
        <v>0</v>
      </c>
    </row>
    <row r="48" customFormat="false" ht="15" hidden="false" customHeight="true" outlineLevel="0" collapsed="false">
      <c r="A48" s="153" t="str">
        <f aca="false">'Budget FY2027'!A48</f>
        <v>Total GC Costs</v>
      </c>
      <c r="B48" s="154" t="n">
        <f aca="false">SUMPRODUCT(('Budget FY2027'!$C$4:$N$4&lt;=$B$2)*'Budget FY2027'!C48:N48)</f>
        <v>-6163278.65</v>
      </c>
      <c r="C48" s="154" t="n">
        <f aca="false">SUMPRODUCT(('Budget FY2027'!$C$4:$N$4&lt;=$B$2)*Model!N236:Y236)</f>
        <v>-5512124.056</v>
      </c>
      <c r="D48" s="154" t="n">
        <f aca="false">C48-B48</f>
        <v>651154.594000001</v>
      </c>
      <c r="E48" s="156" t="n">
        <f aca="false">IF(ABS(B48)&lt;0.5,"",D48/ABS(B48))</f>
        <v>0.105650682206296</v>
      </c>
    </row>
    <row r="49" customFormat="false" ht="15" hidden="false" customHeight="true" outlineLevel="0" collapsed="false">
      <c r="A49" s="153" t="str">
        <f aca="false">'Budget FY2027'!A49</f>
        <v>GC Net Income</v>
      </c>
      <c r="B49" s="154" t="n">
        <f aca="false">SUMPRODUCT(('Budget FY2027'!$C$4:$N$4&lt;=$B$2)*'Budget FY2027'!C49:N49)</f>
        <v>4752654.87940359</v>
      </c>
      <c r="C49" s="154" t="n">
        <f aca="false">SUMPRODUCT(('Budget FY2027'!$C$4:$N$4&lt;=$B$2)*Model!N237:Y237)</f>
        <v>3859347.5988965</v>
      </c>
      <c r="D49" s="154" t="n">
        <f aca="false">C49-B49</f>
        <v>-893307.280507091</v>
      </c>
      <c r="E49" s="156" t="n">
        <f aca="false">IF(ABS(B49)&lt;0.5,"",D49/ABS(B49))</f>
        <v>-0.187959635861292</v>
      </c>
    </row>
    <row r="50" customFormat="false" ht="15" hidden="false" customHeight="true" outlineLevel="0" collapsed="false">
      <c r="A50" s="149" t="s">
        <v>547</v>
      </c>
      <c r="B50" s="150"/>
      <c r="C50" s="150"/>
      <c r="D50" s="150"/>
      <c r="E50" s="150"/>
    </row>
    <row r="51" customFormat="false" ht="15" hidden="false" customHeight="true" outlineLevel="0" collapsed="false">
      <c r="A51" s="123" t="str">
        <f aca="false">'Budget FY2027'!A51</f>
        <v>Edgemont Management Fee</v>
      </c>
      <c r="B51" s="151" t="n">
        <f aca="false">SUMPRODUCT(('Budget FY2027'!$C$4:$N$4&lt;=$B$2)*'Budget FY2027'!C51:N51)</f>
        <v>0</v>
      </c>
      <c r="C51" s="151" t="n">
        <f aca="false">SUMPRODUCT(('Budget FY2027'!$C$4:$N$4&lt;=$B$2)*Model!N241:Y241)</f>
        <v>0</v>
      </c>
      <c r="D51" s="151" t="n">
        <f aca="false">C51-B51</f>
        <v>0</v>
      </c>
      <c r="E51" s="156" t="str">
        <f aca="false">IF(ABS(B51)&lt;0.5,"",D51/ABS(B51))</f>
        <v/>
      </c>
    </row>
    <row r="52" customFormat="false" ht="15" hidden="false" customHeight="true" outlineLevel="0" collapsed="false">
      <c r="A52" s="123" t="str">
        <f aca="false">'Budget FY2027'!A52</f>
        <v>Ramsgate Dev Fee - Construction</v>
      </c>
      <c r="B52" s="151" t="n">
        <f aca="false">SUMPRODUCT(('Budget FY2027'!$C$4:$N$4&lt;=$B$2)*'Budget FY2027'!C52:N52)</f>
        <v>143437.5</v>
      </c>
      <c r="C52" s="151" t="n">
        <f aca="false">SUMPRODUCT(('Budget FY2027'!$C$4:$N$4&lt;=$B$2)*Model!N242:Y242)</f>
        <v>143437.5</v>
      </c>
      <c r="D52" s="151" t="n">
        <f aca="false">C52-B52</f>
        <v>0</v>
      </c>
      <c r="E52" s="156" t="n">
        <f aca="false">IF(ABS(B52)&lt;0.5,"",D52/ABS(B52))</f>
        <v>0</v>
      </c>
    </row>
    <row r="53" customFormat="false" ht="15" hidden="false" customHeight="true" outlineLevel="0" collapsed="false">
      <c r="A53" s="123" t="str">
        <f aca="false">'Budget FY2027'!A53</f>
        <v>Ramsgate Dev Fee - 20% Occ</v>
      </c>
      <c r="B53" s="151" t="n">
        <f aca="false">SUMPRODUCT(('Budget FY2027'!$C$4:$N$4&lt;=$B$2)*'Budget FY2027'!C53:N53)</f>
        <v>57375</v>
      </c>
      <c r="C53" s="151" t="n">
        <f aca="false">SUMPRODUCT(('Budget FY2027'!$C$4:$N$4&lt;=$B$2)*Model!N243:Y243)</f>
        <v>57375</v>
      </c>
      <c r="D53" s="151" t="n">
        <f aca="false">C53-B53</f>
        <v>0</v>
      </c>
      <c r="E53" s="156" t="n">
        <f aca="false">IF(ABS(B53)&lt;0.5,"",D53/ABS(B53))</f>
        <v>0</v>
      </c>
    </row>
    <row r="54" customFormat="false" ht="15" hidden="false" customHeight="true" outlineLevel="0" collapsed="false">
      <c r="A54" s="123" t="str">
        <f aca="false">'Budget FY2027'!A54</f>
        <v>Ramsgate Dev Fee - 50% Occ</v>
      </c>
      <c r="B54" s="151" t="n">
        <f aca="false">SUMPRODUCT(('Budget FY2027'!$C$4:$N$4&lt;=$B$2)*'Budget FY2027'!C54:N54)</f>
        <v>0</v>
      </c>
      <c r="C54" s="151" t="n">
        <f aca="false">SUMPRODUCT(('Budget FY2027'!$C$4:$N$4&lt;=$B$2)*Model!N244:Y244)</f>
        <v>0</v>
      </c>
      <c r="D54" s="151" t="n">
        <f aca="false">C54-B54</f>
        <v>0</v>
      </c>
      <c r="E54" s="156" t="str">
        <f aca="false">IF(ABS(B54)&lt;0.5,"",D54/ABS(B54))</f>
        <v/>
      </c>
    </row>
    <row r="55" customFormat="false" ht="15" hidden="false" customHeight="true" outlineLevel="0" collapsed="false">
      <c r="A55" s="123" t="str">
        <f aca="false">'Budget FY2027'!A55</f>
        <v>Ramsgate Dev Fee - 90% Occ</v>
      </c>
      <c r="B55" s="151" t="n">
        <f aca="false">SUMPRODUCT(('Budget FY2027'!$C$4:$N$4&lt;=$B$2)*'Budget FY2027'!C55:N55)</f>
        <v>0</v>
      </c>
      <c r="C55" s="151" t="n">
        <f aca="false">SUMPRODUCT(('Budget FY2027'!$C$4:$N$4&lt;=$B$2)*Model!N245:Y245)</f>
        <v>0</v>
      </c>
      <c r="D55" s="151" t="n">
        <f aca="false">C55-B55</f>
        <v>0</v>
      </c>
      <c r="E55" s="156" t="str">
        <f aca="false">IF(ABS(B55)&lt;0.5,"",D55/ABS(B55))</f>
        <v/>
      </c>
    </row>
    <row r="56" customFormat="false" ht="15" hidden="false" customHeight="true" outlineLevel="0" collapsed="false">
      <c r="A56" s="123" t="str">
        <f aca="false">'Budget FY2027'!A56</f>
        <v>Crenshaw Development Fee</v>
      </c>
      <c r="B56" s="151" t="n">
        <f aca="false">SUMPRODUCT(('Budget FY2027'!$C$4:$N$4&lt;=$B$2)*'Budget FY2027'!C56:N56)</f>
        <v>0</v>
      </c>
      <c r="C56" s="151" t="n">
        <f aca="false">SUMPRODUCT(('Budget FY2027'!$C$4:$N$4&lt;=$B$2)*Model!N246:Y246)</f>
        <v>0</v>
      </c>
      <c r="D56" s="151" t="n">
        <f aca="false">C56-B56</f>
        <v>0</v>
      </c>
      <c r="E56" s="156" t="str">
        <f aca="false">IF(ABS(B56)&lt;0.5,"",D56/ABS(B56))</f>
        <v/>
      </c>
    </row>
    <row r="57" customFormat="false" ht="15" hidden="false" customHeight="true" outlineLevel="0" collapsed="false">
      <c r="A57" s="123" t="str">
        <f aca="false">'Budget FY2027'!A57</f>
        <v>12th &amp; Fir Developer Fee</v>
      </c>
      <c r="B57" s="151" t="n">
        <f aca="false">SUMPRODUCT(('Budget FY2027'!$C$4:$N$4&lt;=$B$2)*'Budget FY2027'!C57:N57)</f>
        <v>105600</v>
      </c>
      <c r="C57" s="151" t="n">
        <f aca="false">SUMPRODUCT(('Budget FY2027'!$C$4:$N$4&lt;=$B$2)*Model!N247:Y247)</f>
        <v>105600</v>
      </c>
      <c r="D57" s="151" t="n">
        <f aca="false">C57-B57</f>
        <v>0</v>
      </c>
      <c r="E57" s="156" t="n">
        <f aca="false">IF(ABS(B57)&lt;0.5,"",D57/ABS(B57))</f>
        <v>0</v>
      </c>
    </row>
    <row r="58" customFormat="false" ht="15" hidden="false" customHeight="true" outlineLevel="0" collapsed="false">
      <c r="A58" s="123" t="str">
        <f aca="false">'Budget FY2027'!A58</f>
        <v>Klump Accounting Fee (retired 3 Oct 2026)</v>
      </c>
      <c r="B58" s="151" t="n">
        <f aca="false">SUMPRODUCT(('Budget FY2027'!$C$4:$N$4&lt;=$B$2)*'Budget FY2027'!C58:N58)</f>
        <v>0</v>
      </c>
      <c r="C58" s="151" t="n">
        <f aca="false">SUMPRODUCT(('Budget FY2027'!$C$4:$N$4&lt;=$B$2)*Model!N248:Y248)</f>
        <v>0</v>
      </c>
      <c r="D58" s="151" t="n">
        <f aca="false">C58-B58</f>
        <v>0</v>
      </c>
      <c r="E58" s="156" t="str">
        <f aca="false">IF(ABS(B58)&lt;0.5,"",D58/ABS(B58))</f>
        <v/>
      </c>
    </row>
    <row r="59" customFormat="false" ht="15" hidden="false" customHeight="true" outlineLevel="0" collapsed="false">
      <c r="A59" s="123" t="str">
        <f aca="false">'Budget FY2027'!A59</f>
        <v>Klump Developer Fee</v>
      </c>
      <c r="B59" s="151" t="n">
        <f aca="false">SUMPRODUCT(('Budget FY2027'!$C$4:$N$4&lt;=$B$2)*'Budget FY2027'!C59:N59)</f>
        <v>34736.79</v>
      </c>
      <c r="C59" s="151" t="n">
        <f aca="false">SUMPRODUCT(('Budget FY2027'!$C$4:$N$4&lt;=$B$2)*Model!N249:Y249)</f>
        <v>34736.8421052632</v>
      </c>
      <c r="D59" s="151" t="n">
        <f aca="false">C59-B59</f>
        <v>0.0521052631593193</v>
      </c>
      <c r="E59" s="156" t="n">
        <f aca="false">IF(ABS(B59)&lt;0.5,"",D59/ABS(B59))</f>
        <v>1.50000225004438E-006</v>
      </c>
    </row>
    <row r="60" customFormat="false" ht="15" hidden="false" customHeight="true" outlineLevel="0" collapsed="false">
      <c r="A60" s="123" t="str">
        <f aca="false">'Budget FY2027'!A60</f>
        <v>Klump Guarantee Fee (retired 3 Oct 2026)</v>
      </c>
      <c r="B60" s="151" t="n">
        <f aca="false">SUMPRODUCT(('Budget FY2027'!$C$4:$N$4&lt;=$B$2)*'Budget FY2027'!C60:N60)</f>
        <v>0</v>
      </c>
      <c r="C60" s="151" t="n">
        <f aca="false">SUMPRODUCT(('Budget FY2027'!$C$4:$N$4&lt;=$B$2)*Model!N250:Y250)</f>
        <v>0</v>
      </c>
      <c r="D60" s="151" t="n">
        <f aca="false">C60-B60</f>
        <v>0</v>
      </c>
      <c r="E60" s="156" t="str">
        <f aca="false">IF(ABS(B60)&lt;0.5,"",D60/ABS(B60))</f>
        <v/>
      </c>
    </row>
    <row r="61" customFormat="false" ht="15" hidden="false" customHeight="true" outlineLevel="0" collapsed="false">
      <c r="A61" s="123" t="str">
        <f aca="false">'Budget FY2027'!A61</f>
        <v>Scott Accounting Fee (retired 3 Oct 2026)</v>
      </c>
      <c r="B61" s="151" t="n">
        <f aca="false">SUMPRODUCT(('Budget FY2027'!$C$4:$N$4&lt;=$B$2)*'Budget FY2027'!C61:N61)</f>
        <v>0</v>
      </c>
      <c r="C61" s="151" t="n">
        <f aca="false">SUMPRODUCT(('Budget FY2027'!$C$4:$N$4&lt;=$B$2)*Model!N251:Y251)</f>
        <v>0</v>
      </c>
      <c r="D61" s="151" t="n">
        <f aca="false">C61-B61</f>
        <v>0</v>
      </c>
      <c r="E61" s="156" t="str">
        <f aca="false">IF(ABS(B61)&lt;0.5,"",D61/ABS(B61))</f>
        <v/>
      </c>
    </row>
    <row r="62" customFormat="false" ht="15" hidden="false" customHeight="true" outlineLevel="0" collapsed="false">
      <c r="A62" s="123" t="str">
        <f aca="false">'Budget FY2027'!A62</f>
        <v>Scott Developer Fee</v>
      </c>
      <c r="B62" s="151" t="n">
        <f aca="false">SUMPRODUCT(('Budget FY2027'!$C$4:$N$4&lt;=$B$2)*'Budget FY2027'!C62:N62)</f>
        <v>37894.68</v>
      </c>
      <c r="C62" s="151" t="n">
        <f aca="false">SUMPRODUCT(('Budget FY2027'!$C$4:$N$4&lt;=$B$2)*Model!N252:Y252)</f>
        <v>37894.7368421053</v>
      </c>
      <c r="D62" s="151" t="n">
        <f aca="false">C62-B62</f>
        <v>0.0568421052666963</v>
      </c>
      <c r="E62" s="156" t="n">
        <f aca="false">IF(ABS(B62)&lt;0.5,"",D62/ABS(B62))</f>
        <v>1.50000225009675E-006</v>
      </c>
    </row>
    <row r="63" customFormat="false" ht="15" hidden="false" customHeight="true" outlineLevel="0" collapsed="false">
      <c r="A63" s="123" t="str">
        <f aca="false">'Budget FY2027'!A63</f>
        <v>Scott Guarantee Fee (retired 3 Oct 2026)</v>
      </c>
      <c r="B63" s="151" t="n">
        <f aca="false">SUMPRODUCT(('Budget FY2027'!$C$4:$N$4&lt;=$B$2)*'Budget FY2027'!C63:N63)</f>
        <v>0</v>
      </c>
      <c r="C63" s="151" t="n">
        <f aca="false">SUMPRODUCT(('Budget FY2027'!$C$4:$N$4&lt;=$B$2)*Model!N253:Y253)</f>
        <v>0</v>
      </c>
      <c r="D63" s="151" t="n">
        <f aca="false">C63-B63</f>
        <v>0</v>
      </c>
      <c r="E63" s="156" t="str">
        <f aca="false">IF(ABS(B63)&lt;0.5,"",D63/ABS(B63))</f>
        <v/>
      </c>
    </row>
    <row r="64" customFormat="false" ht="15" hidden="false" customHeight="true" outlineLevel="0" collapsed="false">
      <c r="A64" s="123" t="str">
        <f aca="false">'Budget FY2027'!A64</f>
        <v>Francis LIHTC Revenue (SP Share)</v>
      </c>
      <c r="B64" s="151" t="n">
        <f aca="false">SUMPRODUCT(('Budget FY2027'!$C$4:$N$4&lt;=$B$2)*'Budget FY2027'!C64:N64)</f>
        <v>0</v>
      </c>
      <c r="C64" s="151" t="n">
        <f aca="false">SUMPRODUCT(('Budget FY2027'!$C$4:$N$4&lt;=$B$2)*Model!N254:Y254)</f>
        <v>0</v>
      </c>
      <c r="D64" s="151" t="n">
        <f aca="false">C64-B64</f>
        <v>0</v>
      </c>
      <c r="E64" s="156" t="str">
        <f aca="false">IF(ABS(B64)&lt;0.5,"",D64/ABS(B64))</f>
        <v/>
      </c>
    </row>
    <row r="65" customFormat="false" ht="15" hidden="false" customHeight="true" outlineLevel="0" collapsed="false">
      <c r="A65" s="123" t="str">
        <f aca="false">'Budget FY2027'!A65</f>
        <v>Reseda LIHTC Revenue (SP Share)</v>
      </c>
      <c r="B65" s="151" t="n">
        <f aca="false">SUMPRODUCT(('Budget FY2027'!$C$4:$N$4&lt;=$B$2)*'Budget FY2027'!C65:N65)</f>
        <v>0</v>
      </c>
      <c r="C65" s="151" t="n">
        <f aca="false">SUMPRODUCT(('Budget FY2027'!$C$4:$N$4&lt;=$B$2)*Model!N255:Y255)</f>
        <v>0</v>
      </c>
      <c r="D65" s="151" t="n">
        <f aca="false">C65-B65</f>
        <v>0</v>
      </c>
      <c r="E65" s="156" t="str">
        <f aca="false">IF(ABS(B65)&lt;0.5,"",D65/ABS(B65))</f>
        <v/>
      </c>
    </row>
    <row r="66" customFormat="false" ht="15" hidden="false" customHeight="true" outlineLevel="0" collapsed="false">
      <c r="A66" s="123" t="str">
        <f aca="false">'Budget FY2027'!A66</f>
        <v>3rd St LIHTC Revenue (SP Share)</v>
      </c>
      <c r="B66" s="151" t="n">
        <f aca="false">SUMPRODUCT(('Budget FY2027'!$C$4:$N$4&lt;=$B$2)*'Budget FY2027'!C66:N66)</f>
        <v>0</v>
      </c>
      <c r="C66" s="151" t="n">
        <f aca="false">SUMPRODUCT(('Budget FY2027'!$C$4:$N$4&lt;=$B$2)*Model!N256:Y256)</f>
        <v>0</v>
      </c>
      <c r="D66" s="151" t="n">
        <f aca="false">C66-B66</f>
        <v>0</v>
      </c>
      <c r="E66" s="156" t="str">
        <f aca="false">IF(ABS(B66)&lt;0.5,"",D66/ABS(B66))</f>
        <v/>
      </c>
    </row>
    <row r="67" customFormat="false" ht="15" hidden="false" customHeight="true" outlineLevel="0" collapsed="false">
      <c r="A67" s="123" t="str">
        <f aca="false">'Budget FY2027'!A67</f>
        <v>Uplifters (retired 13 Oct 2026: program dropped; actuals only)</v>
      </c>
      <c r="B67" s="151" t="n">
        <f aca="false">SUMPRODUCT(('Budget FY2027'!$C$4:$N$4&lt;=$B$2)*'Budget FY2027'!C67:N67)</f>
        <v>0</v>
      </c>
      <c r="C67" s="151" t="n">
        <f aca="false">SUMPRODUCT(('Budget FY2027'!$C$4:$N$4&lt;=$B$2)*Model!N257:Y257)</f>
        <v>0</v>
      </c>
      <c r="D67" s="151" t="n">
        <f aca="false">C67-B67</f>
        <v>0</v>
      </c>
      <c r="E67" s="156" t="str">
        <f aca="false">IF(ABS(B67)&lt;0.5,"",D67/ABS(B67))</f>
        <v/>
      </c>
    </row>
    <row r="68" customFormat="false" ht="15" hidden="false" customHeight="true" outlineLevel="0" collapsed="false">
      <c r="A68" s="123" t="str">
        <f aca="false">'Budget FY2027'!A68</f>
        <v>Non-Cash Revenue Items</v>
      </c>
      <c r="B68" s="151" t="n">
        <f aca="false">SUMPRODUCT(('Budget FY2027'!$C$4:$N$4&lt;=$B$2)*'Budget FY2027'!C68:N68)</f>
        <v>0</v>
      </c>
      <c r="C68" s="151" t="n">
        <f aca="false">SUMPRODUCT(('Budget FY2027'!$C$4:$N$4&lt;=$B$2)*Model!N258:Y258)</f>
        <v>0</v>
      </c>
      <c r="D68" s="151" t="n">
        <f aca="false">C68-B68</f>
        <v>0</v>
      </c>
      <c r="E68" s="156" t="str">
        <f aca="false">IF(ABS(B68)&lt;0.5,"",D68/ABS(B68))</f>
        <v/>
      </c>
    </row>
    <row r="69" customFormat="false" ht="15" hidden="false" customHeight="true" outlineLevel="0" collapsed="false">
      <c r="A69" s="123" t="str">
        <f aca="false">'Budget FY2027'!A69</f>
        <v>Less: Non-Cash Revenue Items (retired 16-Oct-26: non-cash revenue stays in net income; removed from cash in row 373)</v>
      </c>
      <c r="B69" s="151" t="n">
        <f aca="false">SUMPRODUCT(('Budget FY2027'!$C$4:$N$4&lt;=$B$2)*'Budget FY2027'!C69:N69)</f>
        <v>0</v>
      </c>
      <c r="C69" s="151" t="n">
        <f aca="false">SUMPRODUCT(('Budget FY2027'!$C$4:$N$4&lt;=$B$2)*Model!N259:Y259)</f>
        <v>0</v>
      </c>
      <c r="D69" s="151" t="n">
        <f aca="false">C69-B69</f>
        <v>0</v>
      </c>
      <c r="E69" s="156" t="str">
        <f aca="false">IF(ABS(B69)&lt;0.5,"",D69/ABS(B69))</f>
        <v/>
      </c>
    </row>
    <row r="70" customFormat="false" ht="15" hidden="false" customHeight="true" outlineLevel="0" collapsed="false">
      <c r="A70" s="123" t="str">
        <f aca="false">'Budget FY2027'!A70</f>
        <v>APA LLP (retired: APA Inc. in SUBSIDIARIES block, row 298)</v>
      </c>
      <c r="B70" s="151" t="n">
        <f aca="false">SUMPRODUCT(('Budget FY2027'!$C$4:$N$4&lt;=$B$2)*'Budget FY2027'!C70:N70)</f>
        <v>0</v>
      </c>
      <c r="C70" s="151" t="n">
        <f aca="false">SUMPRODUCT(('Budget FY2027'!$C$4:$N$4&lt;=$B$2)*Model!N260:Y260)</f>
        <v>0</v>
      </c>
      <c r="D70" s="151" t="n">
        <f aca="false">C70-B70</f>
        <v>0</v>
      </c>
      <c r="E70" s="156" t="str">
        <f aca="false">IF(ABS(B70)&lt;0.5,"",D70/ABS(B70))</f>
        <v/>
      </c>
    </row>
    <row r="71" customFormat="false" ht="15" hidden="false" customHeight="true" outlineLevel="0" collapsed="false">
      <c r="A71" s="153" t="str">
        <f aca="false">'Budget FY2027'!A71</f>
        <v>Total Six Peak Revenue</v>
      </c>
      <c r="B71" s="154" t="n">
        <f aca="false">SUMPRODUCT(('Budget FY2027'!$C$4:$N$4&lt;=$B$2)*'Budget FY2027'!C71:N71)</f>
        <v>379044.08</v>
      </c>
      <c r="C71" s="154" t="n">
        <f aca="false">SUMPRODUCT(('Budget FY2027'!$C$4:$N$4&lt;=$B$2)*Model!N261:Y261)</f>
        <v>379044.078947368</v>
      </c>
      <c r="D71" s="154" t="n">
        <f aca="false">C71-B71</f>
        <v>-0.00105263158911839</v>
      </c>
      <c r="E71" s="156" t="n">
        <f aca="false">IF(ABS(B71)&lt;0.5,"",D71/ABS(B71))</f>
        <v>-2.77706906573608E-009</v>
      </c>
    </row>
    <row r="72" customFormat="false" ht="15" hidden="false" customHeight="true" outlineLevel="0" collapsed="false">
      <c r="A72" s="123" t="str">
        <f aca="false">'Budget FY2027'!A72</f>
        <v>5000-1000 Payroll</v>
      </c>
      <c r="B72" s="151" t="n">
        <f aca="false">SUMPRODUCT(('Budget FY2027'!$C$4:$N$4&lt;=$B$2)*'Budget FY2027'!C72:N72)</f>
        <v>-657500.04</v>
      </c>
      <c r="C72" s="151" t="n">
        <f aca="false">SUMPRODUCT(('Budget FY2027'!$C$4:$N$4&lt;=$B$2)*Model!N263:Y263)</f>
        <v>-657500</v>
      </c>
      <c r="D72" s="151" t="n">
        <f aca="false">C72-B72</f>
        <v>0.0400000000372529</v>
      </c>
      <c r="E72" s="156" t="n">
        <f aca="false">IF(ABS(B72)&lt;0.5,"",D72/ABS(B72))</f>
        <v>6.08364982567194E-008</v>
      </c>
    </row>
    <row r="73" customFormat="false" ht="15" hidden="false" customHeight="true" outlineLevel="0" collapsed="false">
      <c r="A73" s="123" t="str">
        <f aca="false">'Budget FY2027'!A73</f>
        <v>5000-1001 Payroll Taxes</v>
      </c>
      <c r="B73" s="151" t="n">
        <f aca="false">SUMPRODUCT(('Budget FY2027'!$C$4:$N$4&lt;=$B$2)*'Budget FY2027'!C73:N73)</f>
        <v>-46025.04</v>
      </c>
      <c r="C73" s="151" t="n">
        <f aca="false">SUMPRODUCT(('Budget FY2027'!$C$4:$N$4&lt;=$B$2)*Model!N264:Y264)</f>
        <v>-46025</v>
      </c>
      <c r="D73" s="151" t="n">
        <f aca="false">C73-B73</f>
        <v>0.0400000000008731</v>
      </c>
      <c r="E73" s="156" t="n">
        <f aca="false">IF(ABS(B73)&lt;0.5,"",D73/ABS(B73))</f>
        <v>8.69092128999195E-007</v>
      </c>
    </row>
    <row r="74" customFormat="false" ht="15" hidden="false" customHeight="true" outlineLevel="0" collapsed="false">
      <c r="A74" s="123" t="str">
        <f aca="false">'Budget FY2027'!A74</f>
        <v>5000-1002 Employee Benefits</v>
      </c>
      <c r="B74" s="151" t="n">
        <f aca="false">SUMPRODUCT(('Budget FY2027'!$C$4:$N$4&lt;=$B$2)*'Budget FY2027'!C74:N74)</f>
        <v>-145656</v>
      </c>
      <c r="C74" s="151" t="n">
        <f aca="false">SUMPRODUCT(('Budget FY2027'!$C$4:$N$4&lt;=$B$2)*Model!N265:Y265)</f>
        <v>-145656</v>
      </c>
      <c r="D74" s="151" t="n">
        <f aca="false">C74-B74</f>
        <v>0</v>
      </c>
      <c r="E74" s="156" t="n">
        <f aca="false">IF(ABS(B74)&lt;0.5,"",D74/ABS(B74))</f>
        <v>0</v>
      </c>
    </row>
    <row r="75" customFormat="false" ht="15" hidden="false" customHeight="true" outlineLevel="0" collapsed="false">
      <c r="A75" s="123" t="str">
        <f aca="false">'Budget FY2027'!A75</f>
        <v>5000-1003 Workers Comp</v>
      </c>
      <c r="B75" s="151" t="n">
        <f aca="false">SUMPRODUCT(('Budget FY2027'!$C$4:$N$4&lt;=$B$2)*'Budget FY2027'!C75:N75)</f>
        <v>-13149.96</v>
      </c>
      <c r="C75" s="151" t="n">
        <f aca="false">SUMPRODUCT(('Budget FY2027'!$C$4:$N$4&lt;=$B$2)*Model!N266:Y266)</f>
        <v>-13150</v>
      </c>
      <c r="D75" s="151" t="n">
        <f aca="false">C75-B75</f>
        <v>-0.0400000000008731</v>
      </c>
      <c r="E75" s="156" t="n">
        <f aca="false">IF(ABS(B75)&lt;0.5,"",D75/ABS(B75))</f>
        <v>-3.04183434785149E-006</v>
      </c>
    </row>
    <row r="76" customFormat="false" ht="15" hidden="false" customHeight="true" outlineLevel="0" collapsed="false">
      <c r="A76" s="123" t="str">
        <f aca="false">'Budget FY2027'!A76</f>
        <v>5000-1005 Payroll Servicing Fees</v>
      </c>
      <c r="B76" s="151" t="n">
        <f aca="false">SUMPRODUCT(('Budget FY2027'!$C$4:$N$4&lt;=$B$2)*'Budget FY2027'!C76:N76)</f>
        <v>-3287.52</v>
      </c>
      <c r="C76" s="151" t="n">
        <f aca="false">SUMPRODUCT(('Budget FY2027'!$C$4:$N$4&lt;=$B$2)*Model!N267:Y267)</f>
        <v>-3287.5</v>
      </c>
      <c r="D76" s="151" t="n">
        <f aca="false">C76-B76</f>
        <v>0.0199999999995271</v>
      </c>
      <c r="E76" s="156" t="n">
        <f aca="false">IF(ABS(B76)&lt;0.5,"",D76/ABS(B76))</f>
        <v>6.08361317939574E-006</v>
      </c>
    </row>
    <row r="77" customFormat="false" ht="15" hidden="false" customHeight="true" outlineLevel="0" collapsed="false">
      <c r="A77" s="123" t="str">
        <f aca="false">'Budget FY2027'!A77</f>
        <v>5100-1000 Rent Expense</v>
      </c>
      <c r="B77" s="151" t="n">
        <f aca="false">SUMPRODUCT(('Budget FY2027'!$C$4:$N$4&lt;=$B$2)*'Budget FY2027'!C77:N77)</f>
        <v>-68750</v>
      </c>
      <c r="C77" s="151" t="n">
        <f aca="false">SUMPRODUCT(('Budget FY2027'!$C$4:$N$4&lt;=$B$2)*Model!N268:Y268)</f>
        <v>-68750</v>
      </c>
      <c r="D77" s="151" t="n">
        <f aca="false">C77-B77</f>
        <v>0</v>
      </c>
      <c r="E77" s="156" t="n">
        <f aca="false">IF(ABS(B77)&lt;0.5,"",D77/ABS(B77))</f>
        <v>0</v>
      </c>
    </row>
    <row r="78" customFormat="false" ht="15" hidden="false" customHeight="true" outlineLevel="0" collapsed="false">
      <c r="A78" s="123" t="str">
        <f aca="false">'Budget FY2027'!A78</f>
        <v>5200-1000 Office Supplies and Expenses</v>
      </c>
      <c r="B78" s="151" t="n">
        <f aca="false">SUMPRODUCT(('Budget FY2027'!$C$4:$N$4&lt;=$B$2)*'Budget FY2027'!C78:N78)</f>
        <v>-7005.6</v>
      </c>
      <c r="C78" s="151" t="n">
        <f aca="false">SUMPRODUCT(('Budget FY2027'!$C$4:$N$4&lt;=$B$2)*Model!N269:Y269)</f>
        <v>-7005.6</v>
      </c>
      <c r="D78" s="151" t="n">
        <f aca="false">C78-B78</f>
        <v>0</v>
      </c>
      <c r="E78" s="156" t="n">
        <f aca="false">IF(ABS(B78)&lt;0.5,"",D78/ABS(B78))</f>
        <v>0</v>
      </c>
    </row>
    <row r="79" customFormat="false" ht="15" hidden="false" customHeight="true" outlineLevel="0" collapsed="false">
      <c r="A79" s="123" t="str">
        <f aca="false">'Budget FY2027'!A79</f>
        <v>5200-1053 IT Software and Subscriptions</v>
      </c>
      <c r="B79" s="151" t="n">
        <f aca="false">SUMPRODUCT(('Budget FY2027'!$C$4:$N$4&lt;=$B$2)*'Budget FY2027'!C79:N79)</f>
        <v>-17974.32</v>
      </c>
      <c r="C79" s="151" t="n">
        <f aca="false">SUMPRODUCT(('Budget FY2027'!$C$4:$N$4&lt;=$B$2)*Model!N270:Y270)</f>
        <v>-17974.32</v>
      </c>
      <c r="D79" s="151" t="n">
        <f aca="false">C79-B79</f>
        <v>0</v>
      </c>
      <c r="E79" s="156" t="n">
        <f aca="false">IF(ABS(B79)&lt;0.5,"",D79/ABS(B79))</f>
        <v>0</v>
      </c>
    </row>
    <row r="80" customFormat="false" ht="15" hidden="false" customHeight="true" outlineLevel="0" collapsed="false">
      <c r="A80" s="123" t="str">
        <f aca="false">'Budget FY2027'!A80</f>
        <v>5200-1060 Website Design</v>
      </c>
      <c r="B80" s="151" t="n">
        <f aca="false">SUMPRODUCT(('Budget FY2027'!$C$4:$N$4&lt;=$B$2)*'Budget FY2027'!C80:N80)</f>
        <v>-3480</v>
      </c>
      <c r="C80" s="151" t="n">
        <f aca="false">SUMPRODUCT(('Budget FY2027'!$C$4:$N$4&lt;=$B$2)*Model!N271:Y271)</f>
        <v>-3480</v>
      </c>
      <c r="D80" s="151" t="n">
        <f aca="false">C80-B80</f>
        <v>0</v>
      </c>
      <c r="E80" s="156" t="n">
        <f aca="false">IF(ABS(B80)&lt;0.5,"",D80/ABS(B80))</f>
        <v>0</v>
      </c>
    </row>
    <row r="81" customFormat="false" ht="15" hidden="false" customHeight="true" outlineLevel="0" collapsed="false">
      <c r="A81" s="123" t="str">
        <f aca="false">'Budget FY2027'!A81</f>
        <v>5200-1061 Website Hosting</v>
      </c>
      <c r="B81" s="151" t="n">
        <f aca="false">SUMPRODUCT(('Budget FY2027'!$C$4:$N$4&lt;=$B$2)*'Budget FY2027'!C81:N81)</f>
        <v>-2940</v>
      </c>
      <c r="C81" s="151" t="n">
        <f aca="false">SUMPRODUCT(('Budget FY2027'!$C$4:$N$4&lt;=$B$2)*Model!N272:Y272)</f>
        <v>-2940</v>
      </c>
      <c r="D81" s="151" t="n">
        <f aca="false">C81-B81</f>
        <v>0</v>
      </c>
      <c r="E81" s="156" t="n">
        <f aca="false">IF(ABS(B81)&lt;0.5,"",D81/ABS(B81))</f>
        <v>0</v>
      </c>
    </row>
    <row r="82" customFormat="false" ht="15" hidden="false" customHeight="true" outlineLevel="0" collapsed="false">
      <c r="A82" s="123" t="str">
        <f aca="false">'Budget FY2027'!A82</f>
        <v>5300-1000 Travel and Lodging</v>
      </c>
      <c r="B82" s="151" t="n">
        <f aca="false">SUMPRODUCT(('Budget FY2027'!$C$4:$N$4&lt;=$B$2)*'Budget FY2027'!C82:N82)</f>
        <v>-14154</v>
      </c>
      <c r="C82" s="151" t="n">
        <f aca="false">SUMPRODUCT(('Budget FY2027'!$C$4:$N$4&lt;=$B$2)*Model!N273:Y273)</f>
        <v>-14154</v>
      </c>
      <c r="D82" s="151" t="n">
        <f aca="false">C82-B82</f>
        <v>0</v>
      </c>
      <c r="E82" s="156" t="n">
        <f aca="false">IF(ABS(B82)&lt;0.5,"",D82/ABS(B82))</f>
        <v>0</v>
      </c>
    </row>
    <row r="83" customFormat="false" ht="15" hidden="false" customHeight="true" outlineLevel="0" collapsed="false">
      <c r="A83" s="123" t="str">
        <f aca="false">'Budget FY2027'!A83</f>
        <v>5300-1001 Public Transportation</v>
      </c>
      <c r="B83" s="151" t="n">
        <f aca="false">SUMPRODUCT(('Budget FY2027'!$C$4:$N$4&lt;=$B$2)*'Budget FY2027'!C83:N83)</f>
        <v>-4395.6</v>
      </c>
      <c r="C83" s="151" t="n">
        <f aca="false">SUMPRODUCT(('Budget FY2027'!$C$4:$N$4&lt;=$B$2)*Model!N274:Y274)</f>
        <v>-4395.6</v>
      </c>
      <c r="D83" s="151" t="n">
        <f aca="false">C83-B83</f>
        <v>0</v>
      </c>
      <c r="E83" s="156" t="n">
        <f aca="false">IF(ABS(B83)&lt;0.5,"",D83/ABS(B83))</f>
        <v>0</v>
      </c>
    </row>
    <row r="84" customFormat="false" ht="15" hidden="false" customHeight="true" outlineLevel="0" collapsed="false">
      <c r="A84" s="123" t="str">
        <f aca="false">'Budget FY2027'!A84</f>
        <v>5300-1002 Parking</v>
      </c>
      <c r="B84" s="151" t="n">
        <f aca="false">SUMPRODUCT(('Budget FY2027'!$C$4:$N$4&lt;=$B$2)*'Budget FY2027'!C84:N84)</f>
        <v>-600.84</v>
      </c>
      <c r="C84" s="151" t="n">
        <f aca="false">SUMPRODUCT(('Budget FY2027'!$C$4:$N$4&lt;=$B$2)*Model!N275:Y275)</f>
        <v>-600.84</v>
      </c>
      <c r="D84" s="151" t="n">
        <f aca="false">C84-B84</f>
        <v>0</v>
      </c>
      <c r="E84" s="156" t="n">
        <f aca="false">IF(ABS(B84)&lt;0.5,"",D84/ABS(B84))</f>
        <v>0</v>
      </c>
    </row>
    <row r="85" customFormat="false" ht="15" hidden="false" customHeight="true" outlineLevel="0" collapsed="false">
      <c r="A85" s="123" t="str">
        <f aca="false">'Budget FY2027'!A85</f>
        <v>5300-1050 Meals and Entertainment</v>
      </c>
      <c r="B85" s="151" t="n">
        <f aca="false">SUMPRODUCT(('Budget FY2027'!$C$4:$N$4&lt;=$B$2)*'Budget FY2027'!C85:N85)</f>
        <v>-10757.16</v>
      </c>
      <c r="C85" s="151" t="n">
        <f aca="false">SUMPRODUCT(('Budget FY2027'!$C$4:$N$4&lt;=$B$2)*Model!N276:Y276)</f>
        <v>-10757.16</v>
      </c>
      <c r="D85" s="151" t="n">
        <f aca="false">C85-B85</f>
        <v>0</v>
      </c>
      <c r="E85" s="156" t="n">
        <f aca="false">IF(ABS(B85)&lt;0.5,"",D85/ABS(B85))</f>
        <v>0</v>
      </c>
    </row>
    <row r="86" customFormat="false" ht="15" hidden="false" customHeight="true" outlineLevel="0" collapsed="false">
      <c r="A86" s="123" t="str">
        <f aca="false">'Budget FY2027'!A86</f>
        <v>5500-1000 Legal and Professional Fees</v>
      </c>
      <c r="B86" s="151" t="n">
        <f aca="false">SUMPRODUCT(('Budget FY2027'!$C$4:$N$4&lt;=$B$2)*'Budget FY2027'!C86:N86)</f>
        <v>-45000</v>
      </c>
      <c r="C86" s="151" t="n">
        <f aca="false">SUMPRODUCT(('Budget FY2027'!$C$4:$N$4&lt;=$B$2)*Model!N277:Y277)</f>
        <v>-45000</v>
      </c>
      <c r="D86" s="151" t="n">
        <f aca="false">C86-B86</f>
        <v>0</v>
      </c>
      <c r="E86" s="156" t="n">
        <f aca="false">IF(ABS(B86)&lt;0.5,"",D86/ABS(B86))</f>
        <v>0</v>
      </c>
    </row>
    <row r="87" customFormat="false" ht="15" hidden="false" customHeight="true" outlineLevel="0" collapsed="false">
      <c r="A87" s="123" t="str">
        <f aca="false">'Budget FY2027'!A87</f>
        <v>5500-1002 Accounting Consulting and Overhead</v>
      </c>
      <c r="B87" s="151" t="n">
        <f aca="false">SUMPRODUCT(('Budget FY2027'!$C$4:$N$4&lt;=$B$2)*'Budget FY2027'!C87:N87)</f>
        <v>-32104.68</v>
      </c>
      <c r="C87" s="151" t="n">
        <f aca="false">SUMPRODUCT(('Budget FY2027'!$C$4:$N$4&lt;=$B$2)*Model!N278:Y278)</f>
        <v>-32104.68</v>
      </c>
      <c r="D87" s="151" t="n">
        <f aca="false">C87-B87</f>
        <v>0</v>
      </c>
      <c r="E87" s="156" t="n">
        <f aca="false">IF(ABS(B87)&lt;0.5,"",D87/ABS(B87))</f>
        <v>0</v>
      </c>
    </row>
    <row r="88" customFormat="false" ht="15" hidden="false" customHeight="true" outlineLevel="0" collapsed="false">
      <c r="A88" s="123" t="str">
        <f aca="false">'Budget FY2027'!A88</f>
        <v>5500-1004 Consultants and Other Professional Expenses</v>
      </c>
      <c r="B88" s="151" t="n">
        <f aca="false">SUMPRODUCT(('Budget FY2027'!$C$4:$N$4&lt;=$B$2)*'Budget FY2027'!C88:N88)</f>
        <v>-336999.96</v>
      </c>
      <c r="C88" s="151" t="n">
        <f aca="false">SUMPRODUCT(('Budget FY2027'!$C$4:$N$4&lt;=$B$2)*Model!N279:Y279)</f>
        <v>-337000</v>
      </c>
      <c r="D88" s="151" t="n">
        <f aca="false">C88-B88</f>
        <v>-0.0399999999790452</v>
      </c>
      <c r="E88" s="156" t="n">
        <f aca="false">IF(ABS(B88)&lt;0.5,"",D88/ABS(B88))</f>
        <v>-1.18694376043977E-007</v>
      </c>
    </row>
    <row r="89" customFormat="false" ht="15" hidden="false" customHeight="true" outlineLevel="0" collapsed="false">
      <c r="A89" s="123" t="str">
        <f aca="false">'Budget FY2027'!A89</f>
        <v>5500-1007 Dues and Subscriptions</v>
      </c>
      <c r="B89" s="151" t="n">
        <f aca="false">SUMPRODUCT(('Budget FY2027'!$C$4:$N$4&lt;=$B$2)*'Budget FY2027'!C89:N89)</f>
        <v>-19034.04</v>
      </c>
      <c r="C89" s="151" t="n">
        <f aca="false">SUMPRODUCT(('Budget FY2027'!$C$4:$N$4&lt;=$B$2)*Model!N280:Y280)</f>
        <v>-19034.04</v>
      </c>
      <c r="D89" s="151" t="n">
        <f aca="false">C89-B89</f>
        <v>0</v>
      </c>
      <c r="E89" s="156" t="n">
        <f aca="false">IF(ABS(B89)&lt;0.5,"",D89/ABS(B89))</f>
        <v>0</v>
      </c>
    </row>
    <row r="90" customFormat="false" ht="15" hidden="false" customHeight="true" outlineLevel="0" collapsed="false">
      <c r="A90" s="123" t="str">
        <f aca="false">'Budget FY2027'!A90</f>
        <v>5500-1009 Entity Filing and Formation Fees</v>
      </c>
      <c r="B90" s="151" t="n">
        <f aca="false">SUMPRODUCT(('Budget FY2027'!$C$4:$N$4&lt;=$B$2)*'Budget FY2027'!C90:N90)</f>
        <v>-39999.96</v>
      </c>
      <c r="C90" s="151" t="n">
        <f aca="false">SUMPRODUCT(('Budget FY2027'!$C$4:$N$4&lt;=$B$2)*Model!N281:Y281)</f>
        <v>-39999.96</v>
      </c>
      <c r="D90" s="151" t="n">
        <f aca="false">C90-B90</f>
        <v>0</v>
      </c>
      <c r="E90" s="156" t="n">
        <f aca="false">IF(ABS(B90)&lt;0.5,"",D90/ABS(B90))</f>
        <v>0</v>
      </c>
    </row>
    <row r="91" customFormat="false" ht="15" hidden="false" customHeight="true" outlineLevel="0" collapsed="false">
      <c r="A91" s="123" t="str">
        <f aca="false">'Budget FY2027'!A91</f>
        <v>5500-1010 Investment Management Software</v>
      </c>
      <c r="B91" s="151" t="n">
        <f aca="false">SUMPRODUCT(('Budget FY2027'!$C$4:$N$4&lt;=$B$2)*'Budget FY2027'!C91:N91)</f>
        <v>-22863.72</v>
      </c>
      <c r="C91" s="151" t="n">
        <f aca="false">SUMPRODUCT(('Budget FY2027'!$C$4:$N$4&lt;=$B$2)*Model!N282:Y282)</f>
        <v>-22863.72</v>
      </c>
      <c r="D91" s="151" t="n">
        <f aca="false">C91-B91</f>
        <v>0</v>
      </c>
      <c r="E91" s="156" t="n">
        <f aca="false">IF(ABS(B91)&lt;0.5,"",D91/ABS(B91))</f>
        <v>0</v>
      </c>
    </row>
    <row r="92" customFormat="false" ht="15" hidden="false" customHeight="true" outlineLevel="0" collapsed="false">
      <c r="A92" s="123" t="str">
        <f aca="false">'Budget FY2027'!A92</f>
        <v>5500-1053 E&amp;O/D&amp;O Insurance</v>
      </c>
      <c r="B92" s="151" t="n">
        <f aca="false">SUMPRODUCT(('Budget FY2027'!$C$4:$N$4&lt;=$B$2)*'Budget FY2027'!C92:N92)</f>
        <v>-25200</v>
      </c>
      <c r="C92" s="151" t="n">
        <f aca="false">SUMPRODUCT(('Budget FY2027'!$C$4:$N$4&lt;=$B$2)*Model!N283:Y283)</f>
        <v>-25200</v>
      </c>
      <c r="D92" s="151" t="n">
        <f aca="false">C92-B92</f>
        <v>0</v>
      </c>
      <c r="E92" s="156" t="n">
        <f aca="false">IF(ABS(B92)&lt;0.5,"",D92/ABS(B92))</f>
        <v>0</v>
      </c>
    </row>
    <row r="93" customFormat="false" ht="15" hidden="false" customHeight="true" outlineLevel="0" collapsed="false">
      <c r="A93" s="123" t="str">
        <f aca="false">'Budget FY2027'!A93</f>
        <v>5800-1003 Consulting Fee</v>
      </c>
      <c r="B93" s="151" t="n">
        <f aca="false">SUMPRODUCT(('Budget FY2027'!$C$4:$N$4&lt;=$B$2)*'Budget FY2027'!C93:N93)</f>
        <v>-800000.04</v>
      </c>
      <c r="C93" s="151" t="n">
        <f aca="false">SUMPRODUCT(('Budget FY2027'!$C$4:$N$4&lt;=$B$2)*Model!N284:Y284)</f>
        <v>-800000</v>
      </c>
      <c r="D93" s="151" t="n">
        <f aca="false">C93-B93</f>
        <v>0.0400000000372529</v>
      </c>
      <c r="E93" s="156" t="n">
        <f aca="false">IF(ABS(B93)&lt;0.5,"",D93/ABS(B93))</f>
        <v>4.99999975465663E-008</v>
      </c>
    </row>
    <row r="94" customFormat="false" ht="15" hidden="false" customHeight="true" outlineLevel="0" collapsed="false">
      <c r="A94" s="123" t="str">
        <f aca="false">'Budget FY2027'!A94</f>
        <v>5900-1075 Miscellaneous Expense</v>
      </c>
      <c r="B94" s="151" t="n">
        <f aca="false">SUMPRODUCT(('Budget FY2027'!$C$4:$N$4&lt;=$B$2)*'Budget FY2027'!C94:N94)</f>
        <v>-39999.96</v>
      </c>
      <c r="C94" s="151" t="n">
        <f aca="false">SUMPRODUCT(('Budget FY2027'!$C$4:$N$4&lt;=$B$2)*Model!N285:Y285)</f>
        <v>-39999.96</v>
      </c>
      <c r="D94" s="151" t="n">
        <f aca="false">C94-B94</f>
        <v>0</v>
      </c>
      <c r="E94" s="156" t="n">
        <f aca="false">IF(ABS(B94)&lt;0.5,"",D94/ABS(B94))</f>
        <v>0</v>
      </c>
    </row>
    <row r="95" customFormat="false" ht="15" hidden="false" customHeight="true" outlineLevel="0" collapsed="false">
      <c r="A95" s="123" t="str">
        <f aca="false">'Budget FY2027'!A95</f>
        <v>5900-1080 Bank Service Charges</v>
      </c>
      <c r="B95" s="151" t="n">
        <f aca="false">SUMPRODUCT(('Budget FY2027'!$C$4:$N$4&lt;=$B$2)*'Budget FY2027'!C95:N95)</f>
        <v>-5359.56</v>
      </c>
      <c r="C95" s="151" t="n">
        <f aca="false">SUMPRODUCT(('Budget FY2027'!$C$4:$N$4&lt;=$B$2)*Model!N286:Y286)</f>
        <v>-5359.56</v>
      </c>
      <c r="D95" s="151" t="n">
        <f aca="false">C95-B95</f>
        <v>0</v>
      </c>
      <c r="E95" s="156" t="n">
        <f aca="false">IF(ABS(B95)&lt;0.5,"",D95/ABS(B95))</f>
        <v>0</v>
      </c>
    </row>
    <row r="96" customFormat="false" ht="15" hidden="false" customHeight="true" outlineLevel="0" collapsed="false">
      <c r="A96" s="123" t="str">
        <f aca="false">'Budget FY2027'!A96</f>
        <v>Steyn Group Guaranty Fee</v>
      </c>
      <c r="B96" s="151" t="n">
        <f aca="false">SUMPRODUCT(('Budget FY2027'!$C$4:$N$4&lt;=$B$2)*'Budget FY2027'!C96:N96)</f>
        <v>0</v>
      </c>
      <c r="C96" s="151" t="n">
        <f aca="false">SUMPRODUCT(('Budget FY2027'!$C$4:$N$4&lt;=$B$2)*Model!N287:Y287)</f>
        <v>0</v>
      </c>
      <c r="D96" s="151" t="n">
        <f aca="false">C96-B96</f>
        <v>0</v>
      </c>
      <c r="E96" s="156" t="str">
        <f aca="false">IF(ABS(B96)&lt;0.5,"",D96/ABS(B96))</f>
        <v/>
      </c>
    </row>
    <row r="97" customFormat="false" ht="15" hidden="false" customHeight="true" outlineLevel="0" collapsed="false">
      <c r="A97" s="123" t="str">
        <f aca="false">'Budget FY2027'!A97</f>
        <v>Steyn Liquidity Guarantee Fee</v>
      </c>
      <c r="B97" s="151" t="n">
        <f aca="false">SUMPRODUCT(('Budget FY2027'!$C$4:$N$4&lt;=$B$2)*'Budget FY2027'!C97:N97)</f>
        <v>0</v>
      </c>
      <c r="C97" s="151" t="n">
        <f aca="false">SUMPRODUCT(('Budget FY2027'!$C$4:$N$4&lt;=$B$2)*Model!N288:Y288)</f>
        <v>0</v>
      </c>
      <c r="D97" s="151" t="n">
        <f aca="false">C97-B97</f>
        <v>0</v>
      </c>
      <c r="E97" s="156" t="str">
        <f aca="false">IF(ABS(B97)&lt;0.5,"",D97/ABS(B97))</f>
        <v/>
      </c>
    </row>
    <row r="98" customFormat="false" ht="15" hidden="false" customHeight="true" outlineLevel="0" collapsed="false">
      <c r="A98" s="123" t="str">
        <f aca="false">'Budget FY2027'!A98</f>
        <v>Francis Steyn Fee + PIK (from LIHTC Revenue)</v>
      </c>
      <c r="B98" s="151" t="n">
        <f aca="false">SUMPRODUCT(('Budget FY2027'!$C$4:$N$4&lt;=$B$2)*'Budget FY2027'!C98:N98)</f>
        <v>0</v>
      </c>
      <c r="C98" s="151" t="n">
        <f aca="false">SUMPRODUCT(('Budget FY2027'!$C$4:$N$4&lt;=$B$2)*Model!N289:Y289)</f>
        <v>0</v>
      </c>
      <c r="D98" s="151" t="n">
        <f aca="false">C98-B98</f>
        <v>0</v>
      </c>
      <c r="E98" s="156" t="str">
        <f aca="false">IF(ABS(B98)&lt;0.5,"",D98/ABS(B98))</f>
        <v/>
      </c>
    </row>
    <row r="99" customFormat="false" ht="15" hidden="false" customHeight="true" outlineLevel="0" collapsed="false">
      <c r="A99" s="123" t="str">
        <f aca="false">'Budget FY2027'!A99</f>
        <v>Reseda Steyn Fee + PIK (from LIHTC Revenue)</v>
      </c>
      <c r="B99" s="151" t="n">
        <f aca="false">SUMPRODUCT(('Budget FY2027'!$C$4:$N$4&lt;=$B$2)*'Budget FY2027'!C99:N99)</f>
        <v>0</v>
      </c>
      <c r="C99" s="151" t="n">
        <f aca="false">SUMPRODUCT(('Budget FY2027'!$C$4:$N$4&lt;=$B$2)*Model!N290:Y290)</f>
        <v>0</v>
      </c>
      <c r="D99" s="151" t="n">
        <f aca="false">C99-B99</f>
        <v>0</v>
      </c>
      <c r="E99" s="156" t="str">
        <f aca="false">IF(ABS(B99)&lt;0.5,"",D99/ABS(B99))</f>
        <v/>
      </c>
    </row>
    <row r="100" customFormat="false" ht="15" hidden="false" customHeight="true" outlineLevel="0" collapsed="false">
      <c r="A100" s="123" t="str">
        <f aca="false">'Budget FY2027'!A100</f>
        <v>3rd St Steyn Fee + PIK (from LIHTC Revenue)</v>
      </c>
      <c r="B100" s="151" t="n">
        <f aca="false">SUMPRODUCT(('Budget FY2027'!$C$4:$N$4&lt;=$B$2)*'Budget FY2027'!C100:N100)</f>
        <v>0</v>
      </c>
      <c r="C100" s="151" t="n">
        <f aca="false">SUMPRODUCT(('Budget FY2027'!$C$4:$N$4&lt;=$B$2)*Model!N291:Y291)</f>
        <v>0</v>
      </c>
      <c r="D100" s="151" t="n">
        <f aca="false">C100-B100</f>
        <v>0</v>
      </c>
      <c r="E100" s="156" t="str">
        <f aca="false">IF(ABS(B100)&lt;0.5,"",D100/ABS(B100))</f>
        <v/>
      </c>
    </row>
    <row r="101" customFormat="false" ht="15" hidden="false" customHeight="true" outlineLevel="0" collapsed="false">
      <c r="A101" s="153" t="str">
        <f aca="false">'Budget FY2027'!A101</f>
        <v>Total Six Peak Expenses</v>
      </c>
      <c r="B101" s="154" t="n">
        <f aca="false">SUMPRODUCT(('Budget FY2027'!$C$4:$N$4&lt;=$B$2)*'Budget FY2027'!C101:N101)</f>
        <v>-2362237.88</v>
      </c>
      <c r="C101" s="154" t="n">
        <f aca="false">SUMPRODUCT(('Budget FY2027'!$C$4:$N$4&lt;=$B$2)*Model!N292:Y292)</f>
        <v>-2362237.94</v>
      </c>
      <c r="D101" s="154" t="n">
        <f aca="false">C101-B101</f>
        <v>-0.0600000000558794</v>
      </c>
      <c r="E101" s="156" t="n">
        <f aca="false">IF(ABS(B101)&lt;0.5,"",D101/ABS(B101))</f>
        <v>-2.53996435176458E-008</v>
      </c>
    </row>
    <row r="102" customFormat="false" ht="15" hidden="false" customHeight="true" outlineLevel="0" collapsed="false">
      <c r="A102" s="153" t="str">
        <f aca="false">'Budget FY2027'!A102</f>
        <v>Six Peak Net Income</v>
      </c>
      <c r="B102" s="154" t="n">
        <f aca="false">SUMPRODUCT(('Budget FY2027'!$C$4:$N$4&lt;=$B$2)*'Budget FY2027'!C102:N102)</f>
        <v>-1983193.91</v>
      </c>
      <c r="C102" s="154" t="n">
        <f aca="false">SUMPRODUCT(('Budget FY2027'!$C$4:$N$4&lt;=$B$2)*Model!N293:Y293)</f>
        <v>-1983193.86105263</v>
      </c>
      <c r="D102" s="154" t="n">
        <f aca="false">C102-B102</f>
        <v>0.0489473685156554</v>
      </c>
      <c r="E102" s="156" t="n">
        <f aca="false">IF(ABS(B102)&lt;0.5,"",D102/ABS(B102))</f>
        <v>2.46810804878154E-008</v>
      </c>
    </row>
    <row r="103" customFormat="false" ht="15" hidden="false" customHeight="true" outlineLevel="0" collapsed="false">
      <c r="A103" s="149" t="s">
        <v>548</v>
      </c>
      <c r="B103" s="150"/>
      <c r="C103" s="150"/>
      <c r="D103" s="150"/>
      <c r="E103" s="150"/>
    </row>
    <row r="104" customFormat="false" ht="15" hidden="false" customHeight="true" outlineLevel="0" collapsed="false">
      <c r="A104" s="123" t="str">
        <f aca="false">'Budget FY2027'!A104</f>
        <v>APA Net Income (Six Peak share)</v>
      </c>
      <c r="B104" s="151" t="n">
        <f aca="false">SUMPRODUCT(('Budget FY2027'!$C$4:$N$4&lt;=$B$2)*'Budget FY2027'!C104:N104)</f>
        <v>800</v>
      </c>
      <c r="C104" s="151" t="n">
        <f aca="false">SUMPRODUCT(('Budget FY2027'!$C$4:$N$4&lt;=$B$2)*Model!N297:Y297)</f>
        <v>915.383032999997</v>
      </c>
      <c r="D104" s="151" t="n">
        <f aca="false">C104-B104</f>
        <v>115.383032999997</v>
      </c>
      <c r="E104" s="156" t="n">
        <f aca="false">IF(ABS(B104)&lt;0.5,"",D104/ABS(B104))</f>
        <v>0.144228791249996</v>
      </c>
    </row>
    <row r="105" customFormat="false" ht="15" hidden="false" customHeight="true" outlineLevel="0" collapsed="false">
      <c r="A105" s="153" t="str">
        <f aca="false">'Budget FY2027'!A105</f>
        <v>Consolidated Net Income</v>
      </c>
      <c r="B105" s="154" t="n">
        <f aca="false">SUMPRODUCT(('Budget FY2027'!$C$4:$N$4&lt;=$B$2)*'Budget FY2027'!C105:N105)</f>
        <v>2770260.97940359</v>
      </c>
      <c r="C105" s="154" t="n">
        <f aca="false">SUMPRODUCT(('Budget FY2027'!$C$4:$N$4&lt;=$B$2)*Model!N308:Y308)</f>
        <v>1877069.12087686</v>
      </c>
      <c r="D105" s="154" t="n">
        <f aca="false">C105-B105</f>
        <v>-893191.858526722</v>
      </c>
      <c r="E105" s="156" t="n">
        <f aca="false">IF(ABS(B105)&lt;0.5,"",D105/ABS(B105))</f>
        <v>-0.322421557090631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555</v>
      </c>
    </row>
    <row r="2" customFormat="false" ht="15" hidden="false" customHeight="true" outlineLevel="0" collapsed="false">
      <c r="A2" s="72" t="s">
        <v>556</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57" t="s">
        <v>1</v>
      </c>
      <c r="C3" s="157" t="n">
        <v>-2</v>
      </c>
      <c r="D3" s="157" t="n">
        <v>-1</v>
      </c>
      <c r="E3" s="157" t="n">
        <v>0</v>
      </c>
      <c r="F3" s="157" t="n">
        <v>1</v>
      </c>
      <c r="G3" s="157" t="n">
        <v>2</v>
      </c>
      <c r="H3" s="157" t="n">
        <v>3</v>
      </c>
      <c r="I3" s="157" t="n">
        <v>4</v>
      </c>
      <c r="J3" s="157" t="n">
        <v>5</v>
      </c>
      <c r="K3" s="157" t="n">
        <v>6</v>
      </c>
      <c r="L3" s="157" t="n">
        <v>7</v>
      </c>
      <c r="M3" s="157" t="n">
        <v>8</v>
      </c>
      <c r="N3" s="157" t="n">
        <v>9</v>
      </c>
      <c r="O3" s="157" t="n">
        <v>10</v>
      </c>
      <c r="P3" s="157" t="n">
        <v>11</v>
      </c>
      <c r="Q3" s="157" t="n">
        <v>12</v>
      </c>
      <c r="R3" s="157" t="n">
        <v>13</v>
      </c>
      <c r="S3" s="157" t="n">
        <v>14</v>
      </c>
      <c r="T3" s="157" t="n">
        <v>15</v>
      </c>
      <c r="U3" s="157" t="n">
        <v>16</v>
      </c>
      <c r="V3" s="157" t="n">
        <v>17</v>
      </c>
      <c r="W3" s="157" t="n">
        <v>18</v>
      </c>
      <c r="X3" s="157" t="n">
        <v>19</v>
      </c>
      <c r="Y3" s="157" t="n">
        <v>20</v>
      </c>
      <c r="Z3" s="157" t="n">
        <v>21</v>
      </c>
      <c r="AA3" s="157" t="n">
        <v>22</v>
      </c>
      <c r="AB3" s="157" t="n">
        <v>23</v>
      </c>
      <c r="AC3" s="157" t="n">
        <v>24</v>
      </c>
      <c r="AD3" s="157" t="n">
        <v>25</v>
      </c>
      <c r="AE3" s="157" t="n">
        <v>26</v>
      </c>
      <c r="AF3" s="157" t="n">
        <v>27</v>
      </c>
      <c r="AG3" s="157" t="n">
        <v>28</v>
      </c>
      <c r="AH3" s="157" t="n">
        <v>29</v>
      </c>
      <c r="AI3" s="157" t="n">
        <v>30</v>
      </c>
      <c r="AJ3" s="157" t="n">
        <v>31</v>
      </c>
      <c r="AK3" s="157" t="n">
        <v>32</v>
      </c>
      <c r="AL3" s="157" t="n">
        <v>33</v>
      </c>
      <c r="AM3" s="157" t="n">
        <v>34</v>
      </c>
      <c r="AN3" s="157" t="n">
        <v>35</v>
      </c>
      <c r="AO3" s="157" t="n">
        <v>36</v>
      </c>
      <c r="AP3" s="157" t="n">
        <v>37</v>
      </c>
      <c r="AQ3" s="157" t="n">
        <v>38</v>
      </c>
      <c r="AR3" s="157" t="n">
        <v>39</v>
      </c>
      <c r="AS3" s="157" t="n">
        <v>40</v>
      </c>
      <c r="AT3" s="157" t="n">
        <v>41</v>
      </c>
      <c r="AU3" s="157" t="n">
        <v>42</v>
      </c>
      <c r="AV3" s="157" t="n">
        <v>43</v>
      </c>
      <c r="AW3" s="157" t="n">
        <v>44</v>
      </c>
      <c r="AX3" s="157" t="n">
        <v>45</v>
      </c>
      <c r="AY3" s="157" t="n">
        <v>46</v>
      </c>
      <c r="AZ3" s="157" t="n">
        <v>47</v>
      </c>
      <c r="BA3" s="157" t="n">
        <v>48</v>
      </c>
      <c r="BB3" s="157" t="n">
        <v>49</v>
      </c>
      <c r="BC3" s="157" t="n">
        <v>50</v>
      </c>
      <c r="BD3" s="157" t="n">
        <v>51</v>
      </c>
      <c r="BE3" s="157" t="n">
        <v>52</v>
      </c>
      <c r="BF3" s="157" t="n">
        <v>53</v>
      </c>
      <c r="BG3" s="157" t="n">
        <v>54</v>
      </c>
      <c r="BH3" s="157" t="n">
        <v>55</v>
      </c>
      <c r="BI3" s="157" t="n">
        <v>56</v>
      </c>
      <c r="BJ3" s="157" t="n">
        <v>57</v>
      </c>
      <c r="BK3" s="157" t="n">
        <v>58</v>
      </c>
      <c r="BL3" s="157" t="n">
        <v>59</v>
      </c>
      <c r="BM3" s="157" t="n">
        <v>60</v>
      </c>
      <c r="BN3" s="157" t="n">
        <v>61</v>
      </c>
      <c r="BO3" s="157" t="n">
        <v>62</v>
      </c>
      <c r="BP3" s="157" t="n">
        <v>63</v>
      </c>
      <c r="BQ3" s="157" t="n">
        <v>64</v>
      </c>
      <c r="BR3" s="157" t="n">
        <v>65</v>
      </c>
      <c r="BS3" s="157" t="n">
        <v>66</v>
      </c>
      <c r="BT3" s="157" t="n">
        <v>67</v>
      </c>
      <c r="BU3" s="157" t="n">
        <v>68</v>
      </c>
      <c r="BV3" s="157" t="n">
        <v>69</v>
      </c>
      <c r="BW3" s="157" t="n">
        <v>70</v>
      </c>
      <c r="BX3" s="157" t="n">
        <v>71</v>
      </c>
      <c r="BY3" s="157" t="n">
        <v>72</v>
      </c>
      <c r="BZ3" s="157" t="n">
        <v>73</v>
      </c>
      <c r="CA3" s="157" t="n">
        <v>74</v>
      </c>
      <c r="CB3" s="157" t="n">
        <v>75</v>
      </c>
      <c r="CC3" s="157" t="n">
        <v>76</v>
      </c>
      <c r="CD3" s="157" t="n">
        <v>77</v>
      </c>
      <c r="CE3" s="157" t="n">
        <v>78</v>
      </c>
      <c r="CF3" s="157" t="n">
        <v>79</v>
      </c>
      <c r="CG3" s="157" t="n">
        <v>80</v>
      </c>
      <c r="CH3" s="157" t="n">
        <v>81</v>
      </c>
      <c r="CI3" s="157" t="n">
        <v>82</v>
      </c>
      <c r="CJ3" s="157" t="n">
        <v>83</v>
      </c>
      <c r="CK3" s="157" t="n">
        <v>84</v>
      </c>
      <c r="CL3" s="157" t="n">
        <v>85</v>
      </c>
      <c r="CM3" s="157" t="n">
        <v>86</v>
      </c>
      <c r="CN3" s="157" t="n">
        <v>87</v>
      </c>
      <c r="CO3" s="157" t="n">
        <v>88</v>
      </c>
      <c r="CP3" s="157" t="n">
        <v>89</v>
      </c>
      <c r="CQ3" s="157" t="n">
        <v>90</v>
      </c>
      <c r="CR3" s="157" t="n">
        <v>91</v>
      </c>
      <c r="CS3" s="157" t="n">
        <v>92</v>
      </c>
      <c r="CT3" s="157" t="n">
        <v>93</v>
      </c>
      <c r="CU3" s="157" t="n">
        <v>94</v>
      </c>
      <c r="CV3" s="157" t="n">
        <v>95</v>
      </c>
      <c r="CW3" s="157" t="n">
        <v>96</v>
      </c>
      <c r="CX3" s="157" t="n">
        <v>97</v>
      </c>
      <c r="CY3" s="157" t="n">
        <v>98</v>
      </c>
      <c r="CZ3" s="157" t="n">
        <v>99</v>
      </c>
      <c r="DA3" s="157" t="n">
        <v>100</v>
      </c>
      <c r="DB3" s="157" t="n">
        <v>101</v>
      </c>
      <c r="DC3" s="157" t="n">
        <v>102</v>
      </c>
      <c r="DD3" s="157" t="n">
        <v>103</v>
      </c>
      <c r="DE3" s="157" t="n">
        <v>104</v>
      </c>
      <c r="DF3" s="157" t="n">
        <v>105</v>
      </c>
    </row>
    <row r="7" customFormat="false" ht="15" hidden="false" customHeight="true" outlineLevel="0" collapsed="false">
      <c r="A7" s="90"/>
      <c r="C7" s="104"/>
      <c r="D7" s="104"/>
      <c r="E7" s="104"/>
      <c r="F7" s="158"/>
      <c r="G7" s="158"/>
      <c r="H7" s="158"/>
      <c r="I7" s="158"/>
      <c r="J7" s="158"/>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8"/>
      <c r="CJ7" s="158"/>
      <c r="CK7" s="158"/>
      <c r="CL7" s="158"/>
      <c r="CM7" s="158"/>
      <c r="CN7" s="158"/>
      <c r="CO7" s="158"/>
      <c r="CP7" s="158"/>
      <c r="CQ7" s="158"/>
      <c r="CR7" s="158"/>
      <c r="CS7" s="158"/>
      <c r="CT7" s="158"/>
      <c r="CU7" s="158"/>
      <c r="CV7" s="158"/>
      <c r="CW7" s="158"/>
      <c r="CX7" s="158"/>
      <c r="CY7" s="158"/>
      <c r="CZ7" s="158"/>
      <c r="DA7" s="158"/>
      <c r="DB7" s="158"/>
      <c r="DC7" s="158"/>
      <c r="DD7" s="158"/>
      <c r="DE7" s="158"/>
      <c r="DF7" s="158"/>
    </row>
    <row r="8" customFormat="false" ht="15" hidden="false" customHeight="true" outlineLevel="0" collapsed="false">
      <c r="A8" s="99" t="s">
        <v>4</v>
      </c>
      <c r="C8" s="159" t="n">
        <v>116363.3</v>
      </c>
      <c r="D8" s="159" t="n">
        <v>138801.52</v>
      </c>
      <c r="E8" s="159" t="n">
        <v>219366.88</v>
      </c>
      <c r="F8" s="160" t="n">
        <v>267934.879957489</v>
      </c>
      <c r="G8" s="160" t="n">
        <v>267934.879957489</v>
      </c>
      <c r="H8" s="160" t="n">
        <v>267934.879957489</v>
      </c>
      <c r="I8" s="160" t="n">
        <v>361542.001995889</v>
      </c>
      <c r="J8" s="160" t="n">
        <v>361542.001995889</v>
      </c>
      <c r="K8" s="160" t="n">
        <v>361542.001995889</v>
      </c>
      <c r="L8" s="160" t="n">
        <v>442929.46088908</v>
      </c>
      <c r="M8" s="160" t="n">
        <v>525344.508604757</v>
      </c>
      <c r="N8" s="160" t="n">
        <v>442616.790480539</v>
      </c>
      <c r="O8" s="160" t="n">
        <v>442616.790480539</v>
      </c>
      <c r="P8" s="160" t="n">
        <v>442616.790480539</v>
      </c>
      <c r="Q8" s="160" t="n">
        <v>442616.790480539</v>
      </c>
      <c r="R8" s="160" t="n">
        <v>541230.826148622</v>
      </c>
      <c r="S8" s="160" t="n">
        <v>541230.826148622</v>
      </c>
      <c r="T8" s="160" t="n">
        <v>631894.944867622</v>
      </c>
      <c r="U8" s="160" t="n">
        <v>495791.549552305</v>
      </c>
      <c r="V8" s="160" t="n">
        <v>343974.804822852</v>
      </c>
      <c r="W8" s="160" t="n">
        <v>343974.804822852</v>
      </c>
      <c r="X8" s="160" t="n">
        <v>356437.861811602</v>
      </c>
      <c r="Y8" s="160" t="n">
        <v>331511.747834102</v>
      </c>
      <c r="Z8" s="160" t="n">
        <v>331511.747834102</v>
      </c>
      <c r="AA8" s="160" t="n">
        <v>331511.747834102</v>
      </c>
      <c r="AB8" s="160" t="n">
        <v>331511.747834102</v>
      </c>
      <c r="AC8" s="160" t="n">
        <v>331511.747834102</v>
      </c>
      <c r="AD8" s="160" t="n">
        <v>378380.997071102</v>
      </c>
      <c r="AE8" s="160" t="n">
        <v>284642.498597102</v>
      </c>
      <c r="AF8" s="160" t="n">
        <v>374733.909031035</v>
      </c>
      <c r="AG8" s="160" t="n">
        <v>374733.909031035</v>
      </c>
      <c r="AH8" s="160" t="n">
        <v>374733.909031035</v>
      </c>
      <c r="AI8" s="160" t="n">
        <v>374733.909031035</v>
      </c>
      <c r="AJ8" s="160" t="n">
        <v>447874.706379785</v>
      </c>
      <c r="AK8" s="160" t="n">
        <v>316830.777796608</v>
      </c>
      <c r="AL8" s="160" t="n">
        <v>464631.496804608</v>
      </c>
      <c r="AM8" s="160" t="n">
        <v>223223.655758208</v>
      </c>
      <c r="AN8" s="160" t="n">
        <v>223223.655758208</v>
      </c>
      <c r="AO8" s="160" t="n">
        <v>277726.092057458</v>
      </c>
      <c r="AP8" s="160" t="n">
        <v>188705.446102017</v>
      </c>
      <c r="AQ8" s="160" t="n">
        <v>188705.446102017</v>
      </c>
      <c r="AR8" s="160" t="n">
        <v>188705.446102017</v>
      </c>
      <c r="AS8" s="160" t="n">
        <v>188705.446102017</v>
      </c>
      <c r="AT8" s="160" t="n">
        <v>188705.446102017</v>
      </c>
      <c r="AU8" s="160" t="n">
        <v>344411.818209517</v>
      </c>
      <c r="AV8" s="160" t="n">
        <v>90091.4104339333</v>
      </c>
      <c r="AW8" s="160" t="n">
        <v>90091.4104339333</v>
      </c>
      <c r="AX8" s="160" t="n">
        <v>90091.4104339333</v>
      </c>
      <c r="AY8" s="160" t="n">
        <v>90091.4104339333</v>
      </c>
      <c r="AZ8" s="160" t="n">
        <v>90091.4104339333</v>
      </c>
      <c r="BA8" s="160" t="n">
        <v>90091.4104339333</v>
      </c>
      <c r="BB8" s="160" t="n">
        <v>90091.4104339333</v>
      </c>
      <c r="BC8" s="160" t="n">
        <v>90091.4104339333</v>
      </c>
      <c r="BD8" s="160" t="n">
        <v>90091.4104339333</v>
      </c>
      <c r="BE8" s="160" t="n">
        <v>90091.4104339333</v>
      </c>
      <c r="BF8" s="160" t="n">
        <v>90091.4104339333</v>
      </c>
      <c r="BG8" s="160" t="n">
        <v>90091.4104339333</v>
      </c>
      <c r="BH8" s="160" t="n">
        <v>90091.4104339333</v>
      </c>
      <c r="BI8" s="160" t="n">
        <v>232341.005855933</v>
      </c>
      <c r="BJ8" s="160" t="n">
        <v>0</v>
      </c>
      <c r="BK8" s="160" t="n">
        <v>0</v>
      </c>
      <c r="BL8" s="160" t="n">
        <v>0</v>
      </c>
      <c r="BM8" s="160" t="n">
        <v>0</v>
      </c>
      <c r="BN8" s="160" t="n">
        <v>0</v>
      </c>
      <c r="BO8" s="160" t="n">
        <v>0</v>
      </c>
      <c r="BP8" s="160" t="n">
        <v>0</v>
      </c>
      <c r="BQ8" s="160" t="n">
        <v>0</v>
      </c>
      <c r="BR8" s="160" t="n">
        <v>0</v>
      </c>
      <c r="BS8" s="160" t="n">
        <v>0</v>
      </c>
      <c r="BT8" s="160" t="n">
        <v>0</v>
      </c>
      <c r="BU8" s="160" t="n">
        <v>0</v>
      </c>
      <c r="BV8" s="160" t="n">
        <v>0</v>
      </c>
      <c r="BW8" s="160" t="n">
        <v>0</v>
      </c>
      <c r="BX8" s="160" t="n">
        <v>0</v>
      </c>
      <c r="BY8" s="160" t="n">
        <v>0</v>
      </c>
      <c r="BZ8" s="160" t="n">
        <v>0</v>
      </c>
      <c r="CA8" s="160" t="n">
        <v>0</v>
      </c>
      <c r="CB8" s="160" t="n">
        <v>0</v>
      </c>
      <c r="CC8" s="160" t="n">
        <v>0</v>
      </c>
      <c r="CD8" s="160" t="n">
        <v>0</v>
      </c>
      <c r="CE8" s="160" t="n">
        <v>0</v>
      </c>
      <c r="CF8" s="160" t="n">
        <v>0</v>
      </c>
      <c r="CG8" s="160" t="n">
        <v>0</v>
      </c>
      <c r="CH8" s="160" t="n">
        <v>0</v>
      </c>
      <c r="CI8" s="160" t="n">
        <v>0</v>
      </c>
      <c r="CJ8" s="160" t="n">
        <v>0</v>
      </c>
      <c r="CK8" s="160" t="n">
        <v>0</v>
      </c>
      <c r="CL8" s="160" t="n">
        <v>0</v>
      </c>
      <c r="CM8" s="160" t="n">
        <v>0</v>
      </c>
      <c r="CN8" s="160" t="n">
        <v>0</v>
      </c>
      <c r="CO8" s="160" t="n">
        <v>0</v>
      </c>
      <c r="CP8" s="160" t="n">
        <v>0</v>
      </c>
      <c r="CQ8" s="160" t="n">
        <v>0</v>
      </c>
      <c r="CR8" s="160" t="n">
        <v>0</v>
      </c>
      <c r="CS8" s="160" t="n">
        <v>0</v>
      </c>
      <c r="CT8" s="160" t="n">
        <v>0</v>
      </c>
      <c r="CU8" s="160" t="n">
        <v>0</v>
      </c>
      <c r="CV8" s="160" t="n">
        <v>0</v>
      </c>
      <c r="CW8" s="160" t="n">
        <v>0</v>
      </c>
      <c r="CX8" s="160" t="n">
        <v>0</v>
      </c>
      <c r="CY8" s="160" t="n">
        <v>0</v>
      </c>
      <c r="CZ8" s="160" t="n">
        <v>0</v>
      </c>
      <c r="DA8" s="160" t="n">
        <v>0</v>
      </c>
      <c r="DB8" s="160" t="n">
        <v>0</v>
      </c>
      <c r="DC8" s="160" t="n">
        <v>0</v>
      </c>
      <c r="DD8" s="160" t="n">
        <v>0</v>
      </c>
      <c r="DE8" s="160" t="n">
        <v>0</v>
      </c>
      <c r="DF8" s="160" t="n">
        <v>0</v>
      </c>
    </row>
    <row r="9" customFormat="false" ht="15" hidden="false" customHeight="true" outlineLevel="0" collapsed="false">
      <c r="A9" s="90" t="s">
        <v>354</v>
      </c>
      <c r="C9" s="104" t="n">
        <v>0</v>
      </c>
      <c r="D9" s="104" t="n">
        <v>0</v>
      </c>
      <c r="E9" s="104" t="n">
        <v>0</v>
      </c>
      <c r="F9" s="158" t="n">
        <v>0</v>
      </c>
      <c r="G9" s="158" t="n">
        <v>0</v>
      </c>
      <c r="H9" s="158" t="n">
        <v>0</v>
      </c>
      <c r="I9" s="158" t="n">
        <v>0</v>
      </c>
      <c r="J9" s="158" t="n">
        <v>0</v>
      </c>
      <c r="K9" s="158" t="n">
        <v>0</v>
      </c>
      <c r="L9" s="158" t="n">
        <v>0</v>
      </c>
      <c r="M9" s="158" t="n">
        <v>0</v>
      </c>
      <c r="N9" s="158" t="n">
        <v>0</v>
      </c>
      <c r="O9" s="158" t="n">
        <v>0</v>
      </c>
      <c r="P9" s="158" t="n">
        <v>0</v>
      </c>
      <c r="Q9" s="158" t="n">
        <v>0</v>
      </c>
      <c r="R9" s="158" t="n">
        <v>0</v>
      </c>
      <c r="S9" s="158" t="n">
        <v>0</v>
      </c>
      <c r="T9" s="158" t="n">
        <v>0</v>
      </c>
      <c r="U9" s="158" t="n">
        <v>0</v>
      </c>
      <c r="V9" s="158" t="n">
        <v>0</v>
      </c>
      <c r="W9" s="158" t="n">
        <v>0</v>
      </c>
      <c r="X9" s="158" t="n">
        <v>0</v>
      </c>
      <c r="Y9" s="158" t="n">
        <v>0</v>
      </c>
      <c r="Z9" s="158" t="n">
        <v>0</v>
      </c>
      <c r="AA9" s="158" t="n">
        <v>0</v>
      </c>
      <c r="AB9" s="158" t="n">
        <v>0</v>
      </c>
      <c r="AC9" s="158" t="n">
        <v>0</v>
      </c>
      <c r="AD9" s="158" t="n">
        <v>0</v>
      </c>
      <c r="AE9" s="158" t="n">
        <v>0</v>
      </c>
      <c r="AF9" s="158" t="n">
        <v>0</v>
      </c>
      <c r="AG9" s="158" t="n">
        <v>0</v>
      </c>
      <c r="AH9" s="158" t="n">
        <v>0</v>
      </c>
      <c r="AI9" s="158" t="n">
        <v>0</v>
      </c>
      <c r="AJ9" s="158" t="n">
        <v>0</v>
      </c>
      <c r="AK9" s="158" t="n">
        <v>0</v>
      </c>
      <c r="AL9" s="158" t="n">
        <v>0</v>
      </c>
      <c r="AM9" s="158" t="n">
        <v>0</v>
      </c>
      <c r="AN9" s="158" t="n">
        <v>0</v>
      </c>
      <c r="AO9" s="158" t="n">
        <v>0</v>
      </c>
      <c r="AP9" s="158" t="n">
        <v>0</v>
      </c>
      <c r="AQ9" s="158" t="n">
        <v>0</v>
      </c>
      <c r="AR9" s="158" t="n">
        <v>0</v>
      </c>
      <c r="AS9" s="158" t="n">
        <v>0</v>
      </c>
      <c r="AT9" s="158" t="n">
        <v>0</v>
      </c>
      <c r="AU9" s="158" t="n">
        <v>0</v>
      </c>
      <c r="AV9" s="158" t="n">
        <v>0</v>
      </c>
      <c r="AW9" s="158" t="n">
        <v>0</v>
      </c>
      <c r="AX9" s="158" t="n">
        <v>0</v>
      </c>
      <c r="AY9" s="158" t="n">
        <v>0</v>
      </c>
      <c r="AZ9" s="158" t="n">
        <v>0</v>
      </c>
      <c r="BA9" s="158" t="n">
        <v>0</v>
      </c>
      <c r="BB9" s="158" t="n">
        <v>0</v>
      </c>
      <c r="BC9" s="158" t="n">
        <v>0</v>
      </c>
      <c r="BD9" s="158" t="n">
        <v>0</v>
      </c>
      <c r="BE9" s="158" t="n">
        <v>0</v>
      </c>
      <c r="BF9" s="158" t="n">
        <v>0</v>
      </c>
      <c r="BG9" s="158" t="n">
        <v>0</v>
      </c>
      <c r="BH9" s="158" t="n">
        <v>0</v>
      </c>
      <c r="BI9" s="158" t="n">
        <v>0</v>
      </c>
      <c r="BJ9" s="158" t="n">
        <v>0</v>
      </c>
      <c r="BK9" s="158" t="n">
        <v>0</v>
      </c>
      <c r="BL9" s="158" t="n">
        <v>0</v>
      </c>
      <c r="BM9" s="158" t="n">
        <v>0</v>
      </c>
      <c r="BN9" s="158" t="n">
        <v>0</v>
      </c>
      <c r="BO9" s="158" t="n">
        <v>0</v>
      </c>
      <c r="BP9" s="158" t="n">
        <v>0</v>
      </c>
      <c r="BQ9" s="158" t="n">
        <v>0</v>
      </c>
      <c r="BR9" s="158" t="n">
        <v>0</v>
      </c>
      <c r="BS9" s="158" t="n">
        <v>0</v>
      </c>
      <c r="BT9" s="158" t="n">
        <v>0</v>
      </c>
      <c r="BU9" s="158" t="n">
        <v>0</v>
      </c>
      <c r="BV9" s="158" t="n">
        <v>0</v>
      </c>
      <c r="BW9" s="158" t="n">
        <v>0</v>
      </c>
      <c r="BX9" s="158" t="n">
        <v>0</v>
      </c>
      <c r="BY9" s="158" t="n">
        <v>0</v>
      </c>
      <c r="BZ9" s="158" t="n">
        <v>0</v>
      </c>
      <c r="CA9" s="158" t="n">
        <v>0</v>
      </c>
      <c r="CB9" s="158" t="n">
        <v>0</v>
      </c>
      <c r="CC9" s="158" t="n">
        <v>0</v>
      </c>
      <c r="CD9" s="158" t="n">
        <v>0</v>
      </c>
      <c r="CE9" s="158" t="n">
        <v>0</v>
      </c>
      <c r="CF9" s="158" t="n">
        <v>0</v>
      </c>
      <c r="CG9" s="158" t="n">
        <v>0</v>
      </c>
      <c r="CH9" s="158" t="n">
        <v>0</v>
      </c>
      <c r="CI9" s="158" t="n">
        <v>0</v>
      </c>
      <c r="CJ9" s="158" t="n">
        <v>0</v>
      </c>
      <c r="CK9" s="158" t="n">
        <v>0</v>
      </c>
      <c r="CL9" s="158" t="n">
        <v>0</v>
      </c>
      <c r="CM9" s="158" t="n">
        <v>0</v>
      </c>
      <c r="CN9" s="158" t="n">
        <v>0</v>
      </c>
      <c r="CO9" s="158" t="n">
        <v>0</v>
      </c>
      <c r="CP9" s="158" t="n">
        <v>0</v>
      </c>
      <c r="CQ9" s="158" t="n">
        <v>0</v>
      </c>
      <c r="CR9" s="158" t="n">
        <v>0</v>
      </c>
      <c r="CS9" s="158" t="n">
        <v>0</v>
      </c>
      <c r="CT9" s="158" t="n">
        <v>0</v>
      </c>
      <c r="CU9" s="158" t="n">
        <v>0</v>
      </c>
      <c r="CV9" s="158" t="n">
        <v>0</v>
      </c>
      <c r="CW9" s="158" t="n">
        <v>0</v>
      </c>
      <c r="CX9" s="158" t="n">
        <v>0</v>
      </c>
      <c r="CY9" s="158" t="n">
        <v>0</v>
      </c>
      <c r="CZ9" s="158" t="n">
        <v>0</v>
      </c>
      <c r="DA9" s="158" t="n">
        <v>0</v>
      </c>
      <c r="DB9" s="158" t="n">
        <v>0</v>
      </c>
      <c r="DC9" s="158" t="n">
        <v>0</v>
      </c>
      <c r="DD9" s="158" t="n">
        <v>0</v>
      </c>
      <c r="DE9" s="158" t="n">
        <v>0</v>
      </c>
      <c r="DF9" s="158" t="n">
        <v>0</v>
      </c>
    </row>
    <row r="10" customFormat="false" ht="15" hidden="false" customHeight="true" outlineLevel="0" collapsed="false">
      <c r="A10" s="90" t="s">
        <v>522</v>
      </c>
      <c r="C10" s="104" t="n">
        <v>95370.25</v>
      </c>
      <c r="D10" s="104" t="n">
        <v>173282.89</v>
      </c>
      <c r="E10" s="104" t="n">
        <v>50438.85</v>
      </c>
      <c r="F10" s="158" t="n">
        <v>200950.186296774</v>
      </c>
      <c r="G10" s="158" t="n">
        <v>200950.186296774</v>
      </c>
      <c r="H10" s="158" t="n">
        <v>200950.186296774</v>
      </c>
      <c r="I10" s="158" t="n">
        <v>271155.187658694</v>
      </c>
      <c r="J10" s="158" t="n">
        <v>271155.187658694</v>
      </c>
      <c r="K10" s="158" t="n">
        <v>271155.187658694</v>
      </c>
      <c r="L10" s="158" t="n">
        <v>332195.486067781</v>
      </c>
      <c r="M10" s="158" t="n">
        <v>394006.472359489</v>
      </c>
      <c r="N10" s="158" t="n">
        <v>331960.984397614</v>
      </c>
      <c r="O10" s="158" t="n">
        <v>331960.984397614</v>
      </c>
      <c r="P10" s="158" t="n">
        <v>331960.984397614</v>
      </c>
      <c r="Q10" s="158" t="n">
        <v>331960.984397614</v>
      </c>
      <c r="R10" s="158" t="n">
        <v>405921.152786748</v>
      </c>
      <c r="S10" s="158" t="n">
        <v>405921.152786748</v>
      </c>
      <c r="T10" s="158" t="n">
        <v>473918.912353948</v>
      </c>
      <c r="U10" s="158" t="n">
        <v>371841.860465161</v>
      </c>
      <c r="V10" s="158" t="n">
        <v>257979.853617848</v>
      </c>
      <c r="W10" s="158" t="n">
        <v>257979.853617848</v>
      </c>
      <c r="X10" s="158" t="n">
        <v>267327.101068848</v>
      </c>
      <c r="Y10" s="158" t="n">
        <v>248632.606166848</v>
      </c>
      <c r="Z10" s="158" t="n">
        <v>248632.606166848</v>
      </c>
      <c r="AA10" s="158" t="n">
        <v>248632.606166848</v>
      </c>
      <c r="AB10" s="158" t="n">
        <v>248632.606166848</v>
      </c>
      <c r="AC10" s="158" t="n">
        <v>248632.606166848</v>
      </c>
      <c r="AD10" s="158" t="n">
        <v>283784.372772448</v>
      </c>
      <c r="AE10" s="158" t="n">
        <v>213480.839561248</v>
      </c>
      <c r="AF10" s="158" t="n">
        <v>281049.069995862</v>
      </c>
      <c r="AG10" s="158" t="n">
        <v>281049.069995862</v>
      </c>
      <c r="AH10" s="158" t="n">
        <v>281049.069995862</v>
      </c>
      <c r="AI10" s="158" t="n">
        <v>281049.069995862</v>
      </c>
      <c r="AJ10" s="158" t="n">
        <v>335904.402214862</v>
      </c>
      <c r="AK10" s="158" t="n">
        <v>237621.931989153</v>
      </c>
      <c r="AL10" s="158" t="n">
        <v>348471.934139553</v>
      </c>
      <c r="AM10" s="158" t="n">
        <v>167416.930627233</v>
      </c>
      <c r="AN10" s="158" t="n">
        <v>167416.930627233</v>
      </c>
      <c r="AO10" s="158" t="n">
        <v>208293.559790633</v>
      </c>
      <c r="AP10" s="158" t="n">
        <v>141528.398823747</v>
      </c>
      <c r="AQ10" s="158" t="n">
        <v>141528.398823747</v>
      </c>
      <c r="AR10" s="158" t="n">
        <v>141528.398823747</v>
      </c>
      <c r="AS10" s="158" t="n">
        <v>141528.398823747</v>
      </c>
      <c r="AT10" s="158" t="n">
        <v>141528.398823747</v>
      </c>
      <c r="AU10" s="158" t="n">
        <v>258307.612069747</v>
      </c>
      <c r="AV10" s="158" t="n">
        <v>67568.2304346134</v>
      </c>
      <c r="AW10" s="158" t="n">
        <v>67568.2304346134</v>
      </c>
      <c r="AX10" s="158" t="n">
        <v>67568.2304346134</v>
      </c>
      <c r="AY10" s="158" t="n">
        <v>67568.2304346134</v>
      </c>
      <c r="AZ10" s="158" t="n">
        <v>67568.2304346134</v>
      </c>
      <c r="BA10" s="158" t="n">
        <v>67568.2304346134</v>
      </c>
      <c r="BB10" s="158" t="n">
        <v>67568.2304346134</v>
      </c>
      <c r="BC10" s="158" t="n">
        <v>67568.2304346134</v>
      </c>
      <c r="BD10" s="158" t="n">
        <v>67568.2304346134</v>
      </c>
      <c r="BE10" s="158" t="n">
        <v>67568.2304346134</v>
      </c>
      <c r="BF10" s="158" t="n">
        <v>67568.2304346134</v>
      </c>
      <c r="BG10" s="158" t="n">
        <v>67568.2304346134</v>
      </c>
      <c r="BH10" s="158" t="n">
        <v>67568.2304346134</v>
      </c>
      <c r="BI10" s="158" t="n">
        <v>174254.910068213</v>
      </c>
      <c r="BJ10" s="158" t="n">
        <v>0</v>
      </c>
      <c r="BK10" s="158" t="n">
        <v>0</v>
      </c>
      <c r="BL10" s="158" t="n">
        <v>0</v>
      </c>
      <c r="BM10" s="158" t="n">
        <v>0</v>
      </c>
      <c r="BN10" s="158" t="n">
        <v>0</v>
      </c>
      <c r="BO10" s="158" t="n">
        <v>0</v>
      </c>
      <c r="BP10" s="158" t="n">
        <v>0</v>
      </c>
      <c r="BQ10" s="158" t="n">
        <v>0</v>
      </c>
      <c r="BR10" s="158" t="n">
        <v>0</v>
      </c>
      <c r="BS10" s="158" t="n">
        <v>0</v>
      </c>
      <c r="BT10" s="158" t="n">
        <v>0</v>
      </c>
      <c r="BU10" s="158" t="n">
        <v>0</v>
      </c>
      <c r="BV10" s="158" t="n">
        <v>0</v>
      </c>
      <c r="BW10" s="158" t="n">
        <v>0</v>
      </c>
      <c r="BX10" s="158" t="n">
        <v>0</v>
      </c>
      <c r="BY10" s="158" t="n">
        <v>0</v>
      </c>
      <c r="BZ10" s="158" t="n">
        <v>0</v>
      </c>
      <c r="CA10" s="158" t="n">
        <v>0</v>
      </c>
      <c r="CB10" s="158" t="n">
        <v>0</v>
      </c>
      <c r="CC10" s="158" t="n">
        <v>0</v>
      </c>
      <c r="CD10" s="158" t="n">
        <v>0</v>
      </c>
      <c r="CE10" s="158" t="n">
        <v>0</v>
      </c>
      <c r="CF10" s="158" t="n">
        <v>0</v>
      </c>
      <c r="CG10" s="158" t="n">
        <v>0</v>
      </c>
      <c r="CH10" s="158" t="n">
        <v>0</v>
      </c>
      <c r="CI10" s="158" t="n">
        <v>0</v>
      </c>
      <c r="CJ10" s="158" t="n">
        <v>0</v>
      </c>
      <c r="CK10" s="158" t="n">
        <v>0</v>
      </c>
      <c r="CL10" s="158" t="n">
        <v>0</v>
      </c>
      <c r="CM10" s="158" t="n">
        <v>0</v>
      </c>
      <c r="CN10" s="158" t="n">
        <v>0</v>
      </c>
      <c r="CO10" s="158" t="n">
        <v>0</v>
      </c>
      <c r="CP10" s="158" t="n">
        <v>0</v>
      </c>
      <c r="CQ10" s="158" t="n">
        <v>0</v>
      </c>
      <c r="CR10" s="158" t="n">
        <v>0</v>
      </c>
      <c r="CS10" s="158" t="n">
        <v>0</v>
      </c>
      <c r="CT10" s="158" t="n">
        <v>0</v>
      </c>
      <c r="CU10" s="158" t="n">
        <v>0</v>
      </c>
      <c r="CV10" s="158" t="n">
        <v>0</v>
      </c>
      <c r="CW10" s="158" t="n">
        <v>0</v>
      </c>
      <c r="CX10" s="158" t="n">
        <v>0</v>
      </c>
      <c r="CY10" s="158" t="n">
        <v>0</v>
      </c>
      <c r="CZ10" s="158" t="n">
        <v>0</v>
      </c>
      <c r="DA10" s="158" t="n">
        <v>0</v>
      </c>
      <c r="DB10" s="158" t="n">
        <v>0</v>
      </c>
      <c r="DC10" s="158" t="n">
        <v>0</v>
      </c>
      <c r="DD10" s="158" t="n">
        <v>0</v>
      </c>
      <c r="DE10" s="158" t="n">
        <v>0</v>
      </c>
      <c r="DF10" s="158" t="n">
        <v>0</v>
      </c>
    </row>
    <row r="11" customFormat="false" ht="15" hidden="false" customHeight="true" outlineLevel="0" collapsed="false">
      <c r="A11" s="90" t="s">
        <v>355</v>
      </c>
      <c r="C11" s="161" t="n">
        <v>0</v>
      </c>
      <c r="D11" s="161" t="n">
        <v>0</v>
      </c>
      <c r="E11" s="161" t="n">
        <v>0</v>
      </c>
      <c r="F11" s="158" t="n">
        <v>0</v>
      </c>
      <c r="G11" s="158" t="n">
        <v>0</v>
      </c>
      <c r="H11" s="158" t="n">
        <v>0</v>
      </c>
      <c r="I11" s="158" t="n">
        <v>0</v>
      </c>
      <c r="J11" s="158" t="n">
        <v>0</v>
      </c>
      <c r="K11" s="158" t="n">
        <v>0</v>
      </c>
      <c r="L11" s="158" t="n">
        <v>0</v>
      </c>
      <c r="M11" s="158" t="n">
        <v>0</v>
      </c>
      <c r="N11" s="158" t="n">
        <v>0</v>
      </c>
      <c r="O11" s="158" t="n">
        <v>0</v>
      </c>
      <c r="P11" s="158" t="n">
        <v>0</v>
      </c>
      <c r="Q11" s="158" t="n">
        <v>0</v>
      </c>
      <c r="R11" s="158" t="n">
        <v>0</v>
      </c>
      <c r="S11" s="158" t="n">
        <v>0</v>
      </c>
      <c r="T11" s="158" t="n">
        <v>0</v>
      </c>
      <c r="U11" s="158" t="n">
        <v>0</v>
      </c>
      <c r="V11" s="158" t="n">
        <v>0</v>
      </c>
      <c r="W11" s="158" t="n">
        <v>0</v>
      </c>
      <c r="X11" s="158" t="n">
        <v>0</v>
      </c>
      <c r="Y11" s="158" t="n">
        <v>0</v>
      </c>
      <c r="Z11" s="158" t="n">
        <v>0</v>
      </c>
      <c r="AA11" s="158" t="n">
        <v>0</v>
      </c>
      <c r="AB11" s="158" t="n">
        <v>0</v>
      </c>
      <c r="AC11" s="158" t="n">
        <v>0</v>
      </c>
      <c r="AD11" s="158" t="n">
        <v>0</v>
      </c>
      <c r="AE11" s="158" t="n">
        <v>0</v>
      </c>
      <c r="AF11" s="158" t="n">
        <v>0</v>
      </c>
      <c r="AG11" s="158" t="n">
        <v>0</v>
      </c>
      <c r="AH11" s="158" t="n">
        <v>0</v>
      </c>
      <c r="AI11" s="158" t="n">
        <v>0</v>
      </c>
      <c r="AJ11" s="158" t="n">
        <v>0</v>
      </c>
      <c r="AK11" s="158" t="n">
        <v>0</v>
      </c>
      <c r="AL11" s="158" t="n">
        <v>0</v>
      </c>
      <c r="AM11" s="158" t="n">
        <v>0</v>
      </c>
      <c r="AN11" s="158" t="n">
        <v>0</v>
      </c>
      <c r="AO11" s="158" t="n">
        <v>0</v>
      </c>
      <c r="AP11" s="158" t="n">
        <v>0</v>
      </c>
      <c r="AQ11" s="158" t="n">
        <v>0</v>
      </c>
      <c r="AR11" s="158" t="n">
        <v>0</v>
      </c>
      <c r="AS11" s="158" t="n">
        <v>0</v>
      </c>
      <c r="AT11" s="158" t="n">
        <v>0</v>
      </c>
      <c r="AU11" s="158" t="n">
        <v>0</v>
      </c>
      <c r="AV11" s="158" t="n">
        <v>0</v>
      </c>
      <c r="AW11" s="158" t="n">
        <v>0</v>
      </c>
      <c r="AX11" s="158" t="n">
        <v>0</v>
      </c>
      <c r="AY11" s="158" t="n">
        <v>0</v>
      </c>
      <c r="AZ11" s="158" t="n">
        <v>0</v>
      </c>
      <c r="BA11" s="158" t="n">
        <v>0</v>
      </c>
      <c r="BB11" s="158" t="n">
        <v>0</v>
      </c>
      <c r="BC11" s="158" t="n">
        <v>0</v>
      </c>
      <c r="BD11" s="158" t="n">
        <v>0</v>
      </c>
      <c r="BE11" s="158" t="n">
        <v>0</v>
      </c>
      <c r="BF11" s="158" t="n">
        <v>0</v>
      </c>
      <c r="BG11" s="158" t="n">
        <v>0</v>
      </c>
      <c r="BH11" s="158" t="n">
        <v>0</v>
      </c>
      <c r="BI11" s="158" t="n">
        <v>0</v>
      </c>
      <c r="BJ11" s="158" t="n">
        <v>0</v>
      </c>
      <c r="BK11" s="158" t="n">
        <v>0</v>
      </c>
      <c r="BL11" s="158" t="n">
        <v>0</v>
      </c>
      <c r="BM11" s="158" t="n">
        <v>0</v>
      </c>
      <c r="BN11" s="158" t="n">
        <v>0</v>
      </c>
      <c r="BO11" s="158" t="n">
        <v>0</v>
      </c>
      <c r="BP11" s="158" t="n">
        <v>0</v>
      </c>
      <c r="BQ11" s="158" t="n">
        <v>0</v>
      </c>
      <c r="BR11" s="158" t="n">
        <v>0</v>
      </c>
      <c r="BS11" s="158" t="n">
        <v>0</v>
      </c>
      <c r="BT11" s="158" t="n">
        <v>0</v>
      </c>
      <c r="BU11" s="158" t="n">
        <v>0</v>
      </c>
      <c r="BV11" s="158" t="n">
        <v>0</v>
      </c>
      <c r="BW11" s="158" t="n">
        <v>0</v>
      </c>
      <c r="BX11" s="158" t="n">
        <v>0</v>
      </c>
      <c r="BY11" s="158" t="n">
        <v>0</v>
      </c>
      <c r="BZ11" s="158" t="n">
        <v>0</v>
      </c>
      <c r="CA11" s="158" t="n">
        <v>0</v>
      </c>
      <c r="CB11" s="158" t="n">
        <v>0</v>
      </c>
      <c r="CC11" s="158" t="n">
        <v>0</v>
      </c>
      <c r="CD11" s="158" t="n">
        <v>0</v>
      </c>
      <c r="CE11" s="158" t="n">
        <v>0</v>
      </c>
      <c r="CF11" s="158" t="n">
        <v>0</v>
      </c>
      <c r="CG11" s="158" t="n">
        <v>0</v>
      </c>
      <c r="CH11" s="158" t="n">
        <v>0</v>
      </c>
      <c r="CI11" s="158" t="n">
        <v>0</v>
      </c>
      <c r="CJ11" s="158" t="n">
        <v>0</v>
      </c>
      <c r="CK11" s="158" t="n">
        <v>0</v>
      </c>
      <c r="CL11" s="158" t="n">
        <v>0</v>
      </c>
      <c r="CM11" s="158" t="n">
        <v>0</v>
      </c>
      <c r="CN11" s="158" t="n">
        <v>0</v>
      </c>
      <c r="CO11" s="158" t="n">
        <v>0</v>
      </c>
      <c r="CP11" s="158" t="n">
        <v>0</v>
      </c>
      <c r="CQ11" s="158" t="n">
        <v>0</v>
      </c>
      <c r="CR11" s="158" t="n">
        <v>0</v>
      </c>
      <c r="CS11" s="158" t="n">
        <v>0</v>
      </c>
      <c r="CT11" s="158" t="n">
        <v>0</v>
      </c>
      <c r="CU11" s="158" t="n">
        <v>0</v>
      </c>
      <c r="CV11" s="158" t="n">
        <v>0</v>
      </c>
      <c r="CW11" s="158" t="n">
        <v>0</v>
      </c>
      <c r="CX11" s="158" t="n">
        <v>0</v>
      </c>
      <c r="CY11" s="158" t="n">
        <v>0</v>
      </c>
      <c r="CZ11" s="158" t="n">
        <v>0</v>
      </c>
      <c r="DA11" s="158" t="n">
        <v>0</v>
      </c>
      <c r="DB11" s="158" t="n">
        <v>0</v>
      </c>
      <c r="DC11" s="158" t="n">
        <v>0</v>
      </c>
      <c r="DD11" s="158" t="n">
        <v>0</v>
      </c>
      <c r="DE11" s="158" t="n">
        <v>0</v>
      </c>
      <c r="DF11" s="158" t="n">
        <v>0</v>
      </c>
    </row>
    <row r="12" customFormat="false" ht="15" hidden="false" customHeight="true" outlineLevel="0" collapsed="false">
      <c r="A12" s="99" t="s">
        <v>6</v>
      </c>
      <c r="C12" s="159" t="n">
        <v>1242053.19</v>
      </c>
      <c r="D12" s="159" t="n">
        <v>2710434.48</v>
      </c>
      <c r="E12" s="159" t="n">
        <v>2402410.43</v>
      </c>
      <c r="F12" s="159" t="n">
        <v>3985482.58</v>
      </c>
      <c r="G12" s="159" t="n">
        <v>4178441.93</v>
      </c>
      <c r="H12" s="159" t="n">
        <v>4314673.98</v>
      </c>
      <c r="I12" s="159" t="n">
        <v>5100719.4</v>
      </c>
      <c r="J12" s="159" t="n">
        <v>5260214.26</v>
      </c>
      <c r="K12" s="159" t="n">
        <v>5352854.32</v>
      </c>
      <c r="L12" s="159" t="n">
        <v>5849570.15</v>
      </c>
      <c r="M12" s="159" t="n">
        <v>6345476.13</v>
      </c>
      <c r="N12" s="159" t="n">
        <v>6208239.26</v>
      </c>
      <c r="O12" s="159" t="n">
        <v>6395725.66</v>
      </c>
      <c r="P12" s="159" t="n">
        <v>6526715.61</v>
      </c>
      <c r="Q12" s="159" t="n">
        <v>6598279.77</v>
      </c>
      <c r="R12" s="159" t="n">
        <v>7163160.25</v>
      </c>
      <c r="S12" s="159" t="n">
        <v>7214523.9</v>
      </c>
      <c r="T12" s="159" t="n">
        <v>7044289.83</v>
      </c>
      <c r="U12" s="159" t="n">
        <v>6558946.87</v>
      </c>
      <c r="V12" s="159" t="n">
        <v>6351724.99</v>
      </c>
      <c r="W12" s="159" t="n">
        <v>6350910.58</v>
      </c>
      <c r="X12" s="159" t="n">
        <v>6231956.53</v>
      </c>
      <c r="Y12" s="159" t="n">
        <v>6016281.88</v>
      </c>
      <c r="Z12" s="159" t="n">
        <v>5778039.55</v>
      </c>
      <c r="AA12" s="159" t="n">
        <v>5481055.51</v>
      </c>
      <c r="AB12" s="159" t="n">
        <v>5142476.89</v>
      </c>
      <c r="AC12" s="159" t="n">
        <v>4779056.04</v>
      </c>
      <c r="AD12" s="159" t="n">
        <v>4323487.76</v>
      </c>
      <c r="AE12" s="159" t="n">
        <v>3830756.31</v>
      </c>
      <c r="AF12" s="159" t="n">
        <v>3598719.36</v>
      </c>
      <c r="AG12" s="159" t="n">
        <v>2781458.46</v>
      </c>
      <c r="AH12" s="159" t="n">
        <v>2827130.02</v>
      </c>
      <c r="AI12" s="159" t="n">
        <v>2855162.63</v>
      </c>
      <c r="AJ12" s="159" t="n">
        <v>2738010.36</v>
      </c>
      <c r="AK12" s="159" t="n">
        <v>2961685.5</v>
      </c>
      <c r="AL12" s="159" t="n">
        <v>2681612.9</v>
      </c>
      <c r="AM12" s="159" t="n">
        <v>3067683.88</v>
      </c>
      <c r="AN12" s="159" t="n">
        <v>3017131.53</v>
      </c>
      <c r="AO12" s="159" t="n">
        <v>2857832.82</v>
      </c>
      <c r="AP12" s="159" t="n">
        <v>2717434.99</v>
      </c>
      <c r="AQ12" s="159" t="n">
        <v>2661368.69</v>
      </c>
      <c r="AR12" s="159" t="n">
        <v>2590847.28</v>
      </c>
      <c r="AS12" s="159" t="n">
        <v>2506479.9</v>
      </c>
      <c r="AT12" s="159" t="n">
        <v>2409088.63</v>
      </c>
      <c r="AU12" s="159" t="n">
        <v>2027193.27</v>
      </c>
      <c r="AV12" s="159" t="n">
        <v>1724513.73</v>
      </c>
      <c r="AW12" s="159" t="n">
        <v>1687294.56</v>
      </c>
      <c r="AX12" s="159" t="n">
        <v>1632789.15</v>
      </c>
      <c r="AY12" s="159" t="n">
        <v>1562651.7</v>
      </c>
      <c r="AZ12" s="159" t="n">
        <v>1478825.86</v>
      </c>
      <c r="BA12" s="159" t="n">
        <v>1383586.14</v>
      </c>
      <c r="BB12" s="159" t="n">
        <v>1279496.53</v>
      </c>
      <c r="BC12" s="159" t="n">
        <v>1169079.66</v>
      </c>
      <c r="BD12" s="159" t="n">
        <v>1054982.23</v>
      </c>
      <c r="BE12" s="159" t="n">
        <v>939685.52</v>
      </c>
      <c r="BF12" s="159" t="n">
        <v>825464.03</v>
      </c>
      <c r="BG12" s="159" t="n">
        <v>714385.48</v>
      </c>
      <c r="BH12" s="159" t="n">
        <v>608145.43</v>
      </c>
      <c r="BI12" s="159" t="n">
        <v>259255.01</v>
      </c>
      <c r="BJ12" s="159" t="n">
        <v>0</v>
      </c>
      <c r="BK12" s="159" t="n">
        <v>0</v>
      </c>
      <c r="BL12" s="159" t="n">
        <v>0</v>
      </c>
      <c r="BM12" s="159" t="n">
        <v>0</v>
      </c>
      <c r="BN12" s="159" t="n">
        <v>0</v>
      </c>
      <c r="BO12" s="159" t="n">
        <v>0</v>
      </c>
      <c r="BP12" s="159" t="n">
        <v>0</v>
      </c>
      <c r="BQ12" s="159" t="n">
        <v>0</v>
      </c>
      <c r="BR12" s="159" t="n">
        <v>0</v>
      </c>
      <c r="BS12" s="159" t="n">
        <v>0</v>
      </c>
      <c r="BT12" s="159" t="n">
        <v>0</v>
      </c>
      <c r="BU12" s="159" t="n">
        <v>0</v>
      </c>
      <c r="BV12" s="159" t="n">
        <v>0</v>
      </c>
      <c r="BW12" s="159" t="n">
        <v>0</v>
      </c>
      <c r="BX12" s="159" t="n">
        <v>0</v>
      </c>
      <c r="BY12" s="159" t="n">
        <v>0</v>
      </c>
      <c r="BZ12" s="159" t="n">
        <v>0</v>
      </c>
      <c r="CA12" s="159" t="n">
        <v>0</v>
      </c>
      <c r="CB12" s="159" t="n">
        <v>0</v>
      </c>
      <c r="CC12" s="159" t="n">
        <v>0</v>
      </c>
      <c r="CD12" s="159" t="n">
        <v>0</v>
      </c>
      <c r="CE12" s="159" t="n">
        <v>0</v>
      </c>
      <c r="CF12" s="159" t="n">
        <v>0</v>
      </c>
      <c r="CG12" s="159" t="n">
        <v>0</v>
      </c>
      <c r="CH12" s="159" t="n">
        <v>0</v>
      </c>
      <c r="CI12" s="159" t="n">
        <v>0</v>
      </c>
      <c r="CJ12" s="159" t="n">
        <v>0</v>
      </c>
      <c r="CK12" s="159" t="n">
        <v>0</v>
      </c>
      <c r="CL12" s="159" t="n">
        <v>0</v>
      </c>
      <c r="CM12" s="159" t="n">
        <v>0</v>
      </c>
      <c r="CN12" s="159" t="n">
        <v>0</v>
      </c>
      <c r="CO12" s="159" t="n">
        <v>0</v>
      </c>
      <c r="CP12" s="159" t="n">
        <v>0</v>
      </c>
      <c r="CQ12" s="159" t="n">
        <v>0</v>
      </c>
      <c r="CR12" s="159" t="n">
        <v>0</v>
      </c>
      <c r="CS12" s="159" t="n">
        <v>0</v>
      </c>
      <c r="CT12" s="159" t="n">
        <v>0</v>
      </c>
      <c r="CU12" s="159" t="n">
        <v>0</v>
      </c>
      <c r="CV12" s="159" t="n">
        <v>0</v>
      </c>
      <c r="CW12" s="159" t="n">
        <v>0</v>
      </c>
      <c r="CX12" s="159" t="n">
        <v>0</v>
      </c>
      <c r="CY12" s="159" t="n">
        <v>0</v>
      </c>
      <c r="CZ12" s="159" t="n">
        <v>0</v>
      </c>
      <c r="DA12" s="159" t="n">
        <v>0</v>
      </c>
      <c r="DB12" s="159" t="n">
        <v>0</v>
      </c>
      <c r="DC12" s="159" t="n">
        <v>0</v>
      </c>
      <c r="DD12" s="159" t="n">
        <v>0</v>
      </c>
      <c r="DE12" s="159" t="n">
        <v>0</v>
      </c>
      <c r="DF12" s="159" t="n">
        <v>0</v>
      </c>
    </row>
    <row r="13" customFormat="false" ht="15" hidden="false" customHeight="true" outlineLevel="0" collapsed="false">
      <c r="A13" s="94" t="s">
        <v>52</v>
      </c>
      <c r="C13" s="162" t="n">
        <f aca="false">C8+C10+C12</f>
        <v>1453786.74</v>
      </c>
      <c r="D13" s="162" t="n">
        <f aca="false">D8+D10+D12</f>
        <v>3022518.89</v>
      </c>
      <c r="E13" s="162" t="n">
        <f aca="false">E8+E10+E12</f>
        <v>2672216.16</v>
      </c>
      <c r="F13" s="162" t="n">
        <f aca="false">F8+F10+F12</f>
        <v>4454367.64625426</v>
      </c>
      <c r="G13" s="162" t="n">
        <f aca="false">G8+G10+G12</f>
        <v>4647326.99625426</v>
      </c>
      <c r="H13" s="162" t="n">
        <f aca="false">H8+H10+H12</f>
        <v>4783559.04625426</v>
      </c>
      <c r="I13" s="162" t="n">
        <f aca="false">I8+I10+I12</f>
        <v>5733416.58965458</v>
      </c>
      <c r="J13" s="162" t="n">
        <f aca="false">J8+J10+J12</f>
        <v>5892911.44965458</v>
      </c>
      <c r="K13" s="162" t="n">
        <f aca="false">K8+K10+K12</f>
        <v>5985551.50965458</v>
      </c>
      <c r="L13" s="162" t="n">
        <f aca="false">L8+L10+L12</f>
        <v>6624695.09695686</v>
      </c>
      <c r="M13" s="162" t="n">
        <f aca="false">M8+M10+M12</f>
        <v>7264827.11096425</v>
      </c>
      <c r="N13" s="162" t="n">
        <f aca="false">N8+N10+N12</f>
        <v>6982817.03487815</v>
      </c>
      <c r="O13" s="162" t="n">
        <f aca="false">O8+O10+O12</f>
        <v>7170303.43487815</v>
      </c>
      <c r="P13" s="162" t="n">
        <f aca="false">P8+P10+P12</f>
        <v>7301293.38487815</v>
      </c>
      <c r="Q13" s="162" t="n">
        <f aca="false">Q8+Q10+Q12</f>
        <v>7372857.54487815</v>
      </c>
      <c r="R13" s="162" t="n">
        <f aca="false">R8+R10+R12</f>
        <v>8110312.22893537</v>
      </c>
      <c r="S13" s="162" t="n">
        <f aca="false">S8+S10+S12</f>
        <v>8161675.87893537</v>
      </c>
      <c r="T13" s="162" t="n">
        <f aca="false">T8+T10+T12</f>
        <v>8150103.68722157</v>
      </c>
      <c r="U13" s="162" t="n">
        <f aca="false">U8+U10+U12</f>
        <v>7426580.28001747</v>
      </c>
      <c r="V13" s="162" t="n">
        <f aca="false">V8+V10+V12</f>
        <v>6953679.6484407</v>
      </c>
      <c r="W13" s="162" t="n">
        <f aca="false">W8+W10+W12</f>
        <v>6952865.2384407</v>
      </c>
      <c r="X13" s="162" t="n">
        <f aca="false">X8+X10+X12</f>
        <v>6855721.49288045</v>
      </c>
      <c r="Y13" s="162" t="n">
        <f aca="false">Y8+Y10+Y12</f>
        <v>6596426.23400095</v>
      </c>
      <c r="Z13" s="162" t="n">
        <f aca="false">Z8+Z10+Z12</f>
        <v>6358183.90400095</v>
      </c>
      <c r="AA13" s="162" t="n">
        <f aca="false">AA8+AA10+AA12</f>
        <v>6061199.86400095</v>
      </c>
      <c r="AB13" s="162" t="n">
        <f aca="false">AB8+AB10+AB12</f>
        <v>5722621.24400095</v>
      </c>
      <c r="AC13" s="162" t="n">
        <f aca="false">AC8+AC10+AC12</f>
        <v>5359200.39400095</v>
      </c>
      <c r="AD13" s="162" t="n">
        <f aca="false">AD8+AD10+AD12</f>
        <v>4985653.12984355</v>
      </c>
      <c r="AE13" s="162" t="n">
        <f aca="false">AE8+AE10+AE12</f>
        <v>4328879.64815835</v>
      </c>
      <c r="AF13" s="162" t="n">
        <f aca="false">AF8+AF10+AF12</f>
        <v>4254502.3390269</v>
      </c>
      <c r="AG13" s="162" t="n">
        <f aca="false">AG8+AG10+AG12</f>
        <v>3437241.4390269</v>
      </c>
      <c r="AH13" s="162" t="n">
        <f aca="false">AH8+AH10+AH12</f>
        <v>3482912.9990269</v>
      </c>
      <c r="AI13" s="162" t="n">
        <f aca="false">AI8+AI10+AI12</f>
        <v>3510945.6090269</v>
      </c>
      <c r="AJ13" s="162" t="n">
        <f aca="false">AJ8+AJ10+AJ12</f>
        <v>3521789.46859465</v>
      </c>
      <c r="AK13" s="162" t="n">
        <f aca="false">AK8+AK10+AK12</f>
        <v>3516138.20978576</v>
      </c>
      <c r="AL13" s="162" t="n">
        <f aca="false">AL8+AL10+AL12</f>
        <v>3494716.33094416</v>
      </c>
      <c r="AM13" s="162" t="n">
        <f aca="false">AM8+AM10+AM12</f>
        <v>3458324.46638544</v>
      </c>
      <c r="AN13" s="162" t="n">
        <f aca="false">AN8+AN10+AN12</f>
        <v>3407772.11638544</v>
      </c>
      <c r="AO13" s="162" t="n">
        <f aca="false">AO8+AO10+AO12</f>
        <v>3343852.47184809</v>
      </c>
      <c r="AP13" s="162" t="n">
        <f aca="false">AP8+AP10+AP12</f>
        <v>3047668.83492576</v>
      </c>
      <c r="AQ13" s="162" t="n">
        <f aca="false">AQ8+AQ10+AQ12</f>
        <v>2991602.53492576</v>
      </c>
      <c r="AR13" s="162" t="n">
        <f aca="false">AR8+AR10+AR12</f>
        <v>2921081.12492576</v>
      </c>
      <c r="AS13" s="162" t="n">
        <f aca="false">AS8+AS10+AS12</f>
        <v>2836713.74492576</v>
      </c>
      <c r="AT13" s="162" t="n">
        <f aca="false">AT8+AT10+AT12</f>
        <v>2739322.47492576</v>
      </c>
      <c r="AU13" s="162" t="n">
        <f aca="false">AU8+AU10+AU12</f>
        <v>2629912.70027926</v>
      </c>
      <c r="AV13" s="162" t="n">
        <f aca="false">AV8+AV10+AV12</f>
        <v>1882173.37086855</v>
      </c>
      <c r="AW13" s="162" t="n">
        <f aca="false">AW8+AW10+AW12</f>
        <v>1844954.20086855</v>
      </c>
      <c r="AX13" s="162" t="n">
        <f aca="false">AX8+AX10+AX12</f>
        <v>1790448.79086855</v>
      </c>
      <c r="AY13" s="162" t="n">
        <f aca="false">AY8+AY10+AY12</f>
        <v>1720311.34086855</v>
      </c>
      <c r="AZ13" s="162" t="n">
        <f aca="false">AZ8+AZ10+AZ12</f>
        <v>1636485.50086855</v>
      </c>
      <c r="BA13" s="162" t="n">
        <f aca="false">BA8+BA10+BA12</f>
        <v>1541245.78086855</v>
      </c>
      <c r="BB13" s="162" t="n">
        <f aca="false">BB8+BB10+BB12</f>
        <v>1437156.17086855</v>
      </c>
      <c r="BC13" s="162" t="n">
        <f aca="false">BC8+BC10+BC12</f>
        <v>1326739.30086855</v>
      </c>
      <c r="BD13" s="162" t="n">
        <f aca="false">BD8+BD10+BD12</f>
        <v>1212641.87086855</v>
      </c>
      <c r="BE13" s="162" t="n">
        <f aca="false">BE8+BE10+BE12</f>
        <v>1097345.16086855</v>
      </c>
      <c r="BF13" s="162" t="n">
        <f aca="false">BF8+BF10+BF12</f>
        <v>983123.670868547</v>
      </c>
      <c r="BG13" s="162" t="n">
        <f aca="false">BG8+BG10+BG12</f>
        <v>872045.120868547</v>
      </c>
      <c r="BH13" s="162" t="n">
        <f aca="false">BH8+BH10+BH12</f>
        <v>765805.070868547</v>
      </c>
      <c r="BI13" s="162" t="n">
        <f aca="false">BI8+BI10+BI12</f>
        <v>665850.925924146</v>
      </c>
      <c r="BJ13" s="162" t="n">
        <f aca="false">BJ8+BJ10+BJ12</f>
        <v>0</v>
      </c>
      <c r="BK13" s="162" t="n">
        <f aca="false">BK8+BK10+BK12</f>
        <v>0</v>
      </c>
      <c r="BL13" s="162" t="n">
        <f aca="false">BL8+BL10+BL12</f>
        <v>0</v>
      </c>
      <c r="BM13" s="162" t="n">
        <f aca="false">BM8+BM10+BM12</f>
        <v>0</v>
      </c>
      <c r="BN13" s="162" t="n">
        <f aca="false">BN8+BN10+BN12</f>
        <v>0</v>
      </c>
      <c r="BO13" s="162" t="n">
        <f aca="false">BO8+BO10+BO12</f>
        <v>0</v>
      </c>
      <c r="BP13" s="162" t="n">
        <f aca="false">BP8+BP10+BP12</f>
        <v>0</v>
      </c>
      <c r="BQ13" s="162" t="n">
        <f aca="false">BQ8+BQ10+BQ12</f>
        <v>0</v>
      </c>
      <c r="BR13" s="162" t="n">
        <f aca="false">BR8+BR10+BR12</f>
        <v>0</v>
      </c>
      <c r="BS13" s="162" t="n">
        <f aca="false">BS8+BS10+BS12</f>
        <v>0</v>
      </c>
      <c r="BT13" s="162" t="n">
        <f aca="false">BT8+BT10+BT12</f>
        <v>0</v>
      </c>
      <c r="BU13" s="162" t="n">
        <f aca="false">BU8+BU10+BU12</f>
        <v>0</v>
      </c>
      <c r="BV13" s="162" t="n">
        <f aca="false">BV8+BV10+BV12</f>
        <v>0</v>
      </c>
      <c r="BW13" s="162" t="n">
        <f aca="false">BW8+BW10+BW12</f>
        <v>0</v>
      </c>
      <c r="BX13" s="162" t="n">
        <f aca="false">BX8+BX10+BX12</f>
        <v>0</v>
      </c>
      <c r="BY13" s="162" t="n">
        <f aca="false">BY8+BY10+BY12</f>
        <v>0</v>
      </c>
      <c r="BZ13" s="162" t="n">
        <f aca="false">BZ8+BZ10+BZ12</f>
        <v>0</v>
      </c>
      <c r="CA13" s="162" t="n">
        <f aca="false">CA8+CA10+CA12</f>
        <v>0</v>
      </c>
      <c r="CB13" s="162" t="n">
        <f aca="false">CB8+CB10+CB12</f>
        <v>0</v>
      </c>
      <c r="CC13" s="162" t="n">
        <f aca="false">CC8+CC10+CC12</f>
        <v>0</v>
      </c>
      <c r="CD13" s="162" t="n">
        <f aca="false">CD8+CD10+CD12</f>
        <v>0</v>
      </c>
      <c r="CE13" s="162" t="n">
        <f aca="false">CE8+CE10+CE12</f>
        <v>0</v>
      </c>
      <c r="CF13" s="162" t="n">
        <f aca="false">CF8+CF10+CF12</f>
        <v>0</v>
      </c>
      <c r="CG13" s="162" t="n">
        <f aca="false">CG8+CG10+CG12</f>
        <v>0</v>
      </c>
      <c r="CH13" s="162" t="n">
        <f aca="false">CH8+CH10+CH12</f>
        <v>0</v>
      </c>
      <c r="CI13" s="162" t="n">
        <f aca="false">CI8+CI10+CI12</f>
        <v>0</v>
      </c>
      <c r="CJ13" s="162" t="n">
        <f aca="false">CJ8+CJ10+CJ12</f>
        <v>0</v>
      </c>
      <c r="CK13" s="162" t="n">
        <f aca="false">CK8+CK10+CK12</f>
        <v>0</v>
      </c>
      <c r="CL13" s="162" t="n">
        <f aca="false">CL8+CL10+CL12</f>
        <v>0</v>
      </c>
      <c r="CM13" s="162" t="n">
        <f aca="false">CM8+CM10+CM12</f>
        <v>0</v>
      </c>
      <c r="CN13" s="162" t="n">
        <f aca="false">CN8+CN10+CN12</f>
        <v>0</v>
      </c>
      <c r="CO13" s="162" t="n">
        <f aca="false">CO8+CO10+CO12</f>
        <v>0</v>
      </c>
      <c r="CP13" s="162" t="n">
        <f aca="false">CP8+CP10+CP12</f>
        <v>0</v>
      </c>
      <c r="CQ13" s="162" t="n">
        <f aca="false">CQ8+CQ10+CQ12</f>
        <v>0</v>
      </c>
      <c r="CR13" s="162" t="n">
        <f aca="false">CR8+CR10+CR12</f>
        <v>0</v>
      </c>
      <c r="CS13" s="162" t="n">
        <f aca="false">CS8+CS10+CS12</f>
        <v>0</v>
      </c>
      <c r="CT13" s="162" t="n">
        <f aca="false">CT8+CT10+CT12</f>
        <v>0</v>
      </c>
      <c r="CU13" s="162" t="n">
        <f aca="false">CU8+CU10+CU12</f>
        <v>0</v>
      </c>
      <c r="CV13" s="162" t="n">
        <f aca="false">CV8+CV10+CV12</f>
        <v>0</v>
      </c>
      <c r="CW13" s="162" t="n">
        <f aca="false">CW8+CW10+CW12</f>
        <v>0</v>
      </c>
      <c r="CX13" s="162" t="n">
        <f aca="false">CX8+CX10+CX12</f>
        <v>0</v>
      </c>
      <c r="CY13" s="162" t="n">
        <f aca="false">CY8+CY10+CY12</f>
        <v>0</v>
      </c>
      <c r="CZ13" s="162" t="n">
        <f aca="false">CZ8+CZ10+CZ12</f>
        <v>0</v>
      </c>
      <c r="DA13" s="162" t="n">
        <f aca="false">DA8+DA10+DA12</f>
        <v>0</v>
      </c>
      <c r="DB13" s="162" t="n">
        <f aca="false">DB8+DB10+DB12</f>
        <v>0</v>
      </c>
      <c r="DC13" s="162" t="n">
        <f aca="false">DC8+DC10+DC12</f>
        <v>0</v>
      </c>
      <c r="DD13" s="162" t="n">
        <f aca="false">DD8+DD10+DD12</f>
        <v>0</v>
      </c>
      <c r="DE13" s="162" t="n">
        <f aca="false">DE8+DE10+DE12</f>
        <v>0</v>
      </c>
      <c r="DF13" s="162" t="n">
        <f aca="false">DF8+DF10+DF12</f>
        <v>0</v>
      </c>
    </row>
    <row r="14" customFormat="false" ht="15" hidden="false" customHeight="true" outlineLevel="0" collapsed="false">
      <c r="A14" s="101" t="s">
        <v>356</v>
      </c>
      <c r="C14" s="161" t="n">
        <v>-1233067.43</v>
      </c>
      <c r="D14" s="161" t="n">
        <v>-3073522.36</v>
      </c>
      <c r="E14" s="161" t="n">
        <v>-2078031.64</v>
      </c>
      <c r="F14" s="163" t="n">
        <v>-3985482.58403402</v>
      </c>
      <c r="G14" s="163" t="n">
        <v>-4178441.93467641</v>
      </c>
      <c r="H14" s="163" t="n">
        <v>-4314673.98179329</v>
      </c>
      <c r="I14" s="163" t="n">
        <v>-5100719.40418529</v>
      </c>
      <c r="J14" s="163" t="n">
        <v>-5260214.25623971</v>
      </c>
      <c r="K14" s="163" t="n">
        <v>-5352854.31833945</v>
      </c>
      <c r="L14" s="163" t="n">
        <v>-5849570.14613038</v>
      </c>
      <c r="M14" s="163" t="n">
        <v>-6345476.13239193</v>
      </c>
      <c r="N14" s="163" t="n">
        <v>-6208239.26255321</v>
      </c>
      <c r="O14" s="163" t="n">
        <v>-6395725.66434017</v>
      </c>
      <c r="P14" s="163" t="n">
        <v>-6526715.60885338</v>
      </c>
      <c r="Q14" s="163" t="n">
        <v>-6598279.76517372</v>
      </c>
      <c r="R14" s="163" t="n">
        <v>-7163160.25198472</v>
      </c>
      <c r="S14" s="163" t="n">
        <v>-7214523.89541135</v>
      </c>
      <c r="T14" s="163" t="n">
        <v>-7044289.82829815</v>
      </c>
      <c r="U14" s="163" t="n">
        <v>-6558946.86638782</v>
      </c>
      <c r="V14" s="163" t="n">
        <v>-6351724.9937303</v>
      </c>
      <c r="W14" s="163" t="n">
        <v>-6350910.5797313</v>
      </c>
      <c r="X14" s="163" t="n">
        <v>-6231956.52523155</v>
      </c>
      <c r="Y14" s="163" t="n">
        <v>-6016281.88355905</v>
      </c>
      <c r="Z14" s="163" t="n">
        <v>-5778039.55108905</v>
      </c>
      <c r="AA14" s="163" t="n">
        <v>-5481055.51416705</v>
      </c>
      <c r="AB14" s="163" t="n">
        <v>-5142476.88514805</v>
      </c>
      <c r="AC14" s="163" t="n">
        <v>-4779056.03641005</v>
      </c>
      <c r="AD14" s="163" t="n">
        <v>-4323487.76034045</v>
      </c>
      <c r="AE14" s="163" t="n">
        <v>-3830756.31368165</v>
      </c>
      <c r="AF14" s="163" t="n">
        <v>-3598719.3564371</v>
      </c>
      <c r="AG14" s="163" t="n">
        <v>-2781458.4577761</v>
      </c>
      <c r="AH14" s="163" t="n">
        <v>-2827130.0229831</v>
      </c>
      <c r="AI14" s="163" t="n">
        <v>-2855162.6339251</v>
      </c>
      <c r="AJ14" s="163" t="n">
        <v>-2738010.36288435</v>
      </c>
      <c r="AK14" s="163" t="n">
        <v>-2961685.49998524</v>
      </c>
      <c r="AL14" s="163" t="n">
        <v>-2681612.89887884</v>
      </c>
      <c r="AM14" s="163" t="n">
        <v>-3067683.88382956</v>
      </c>
      <c r="AN14" s="163" t="n">
        <v>-3017131.52805656</v>
      </c>
      <c r="AO14" s="163" t="n">
        <v>-2857832.82197891</v>
      </c>
      <c r="AP14" s="163" t="n">
        <v>-2717434.98835224</v>
      </c>
      <c r="AQ14" s="163" t="n">
        <v>-2661368.68946424</v>
      </c>
      <c r="AR14" s="163" t="n">
        <v>-2590847.27570024</v>
      </c>
      <c r="AS14" s="163" t="n">
        <v>-2506479.90028024</v>
      </c>
      <c r="AT14" s="163" t="n">
        <v>-2409088.63497424</v>
      </c>
      <c r="AU14" s="163" t="n">
        <v>-2027193.26653074</v>
      </c>
      <c r="AV14" s="163" t="n">
        <v>-1724513.72534745</v>
      </c>
      <c r="AW14" s="163" t="n">
        <v>-1687294.55654745</v>
      </c>
      <c r="AX14" s="163" t="n">
        <v>-1632789.15157145</v>
      </c>
      <c r="AY14" s="163" t="n">
        <v>-1562651.69569945</v>
      </c>
      <c r="AZ14" s="163" t="n">
        <v>-1478825.85663545</v>
      </c>
      <c r="BA14" s="163" t="n">
        <v>-1383586.13913945</v>
      </c>
      <c r="BB14" s="163" t="n">
        <v>-1279496.53039545</v>
      </c>
      <c r="BC14" s="163" t="n">
        <v>-1169079.66295545</v>
      </c>
      <c r="BD14" s="163" t="n">
        <v>-1054982.23326745</v>
      </c>
      <c r="BE14" s="163" t="n">
        <v>-939685.519251453</v>
      </c>
      <c r="BF14" s="163" t="n">
        <v>-825464.025667453</v>
      </c>
      <c r="BG14" s="163" t="n">
        <v>-714385.484115453</v>
      </c>
      <c r="BH14" s="163" t="n">
        <v>-608145.434507453</v>
      </c>
      <c r="BI14" s="163" t="n">
        <v>-259255.013907853</v>
      </c>
      <c r="BJ14" s="163" t="n">
        <v>0</v>
      </c>
      <c r="BK14" s="163" t="n">
        <v>0</v>
      </c>
      <c r="BL14" s="163" t="n">
        <v>0</v>
      </c>
      <c r="BM14" s="163" t="n">
        <v>0</v>
      </c>
      <c r="BN14" s="163" t="n">
        <v>0</v>
      </c>
      <c r="BO14" s="163" t="n">
        <v>0</v>
      </c>
      <c r="BP14" s="163" t="n">
        <v>0</v>
      </c>
      <c r="BQ14" s="163" t="n">
        <v>0</v>
      </c>
      <c r="BR14" s="163" t="n">
        <v>0</v>
      </c>
      <c r="BS14" s="163" t="n">
        <v>0</v>
      </c>
      <c r="BT14" s="163" t="n">
        <v>0</v>
      </c>
      <c r="BU14" s="163" t="n">
        <v>0</v>
      </c>
      <c r="BV14" s="163" t="n">
        <v>0</v>
      </c>
      <c r="BW14" s="163" t="n">
        <v>0</v>
      </c>
      <c r="BX14" s="163" t="n">
        <v>0</v>
      </c>
      <c r="BY14" s="163" t="n">
        <v>0</v>
      </c>
      <c r="BZ14" s="163" t="n">
        <v>0</v>
      </c>
      <c r="CA14" s="163" t="n">
        <v>0</v>
      </c>
      <c r="CB14" s="163" t="n">
        <v>0</v>
      </c>
      <c r="CC14" s="163" t="n">
        <v>0</v>
      </c>
      <c r="CD14" s="163" t="n">
        <v>0</v>
      </c>
      <c r="CE14" s="163" t="n">
        <v>0</v>
      </c>
      <c r="CF14" s="163" t="n">
        <v>0</v>
      </c>
      <c r="CG14" s="163" t="n">
        <v>0</v>
      </c>
      <c r="CH14" s="163" t="n">
        <v>0</v>
      </c>
      <c r="CI14" s="163" t="n">
        <v>0</v>
      </c>
      <c r="CJ14" s="163" t="n">
        <v>0</v>
      </c>
      <c r="CK14" s="163" t="n">
        <v>0</v>
      </c>
      <c r="CL14" s="163" t="n">
        <v>0</v>
      </c>
      <c r="CM14" s="163" t="n">
        <v>0</v>
      </c>
      <c r="CN14" s="163" t="n">
        <v>0</v>
      </c>
      <c r="CO14" s="163" t="n">
        <v>0</v>
      </c>
      <c r="CP14" s="163" t="n">
        <v>0</v>
      </c>
      <c r="CQ14" s="163" t="n">
        <v>0</v>
      </c>
      <c r="CR14" s="163" t="n">
        <v>0</v>
      </c>
      <c r="CS14" s="163" t="n">
        <v>0</v>
      </c>
      <c r="CT14" s="163" t="n">
        <v>0</v>
      </c>
      <c r="CU14" s="163" t="n">
        <v>0</v>
      </c>
      <c r="CV14" s="163" t="n">
        <v>0</v>
      </c>
      <c r="CW14" s="163" t="n">
        <v>0</v>
      </c>
      <c r="CX14" s="163" t="n">
        <v>0</v>
      </c>
      <c r="CY14" s="163" t="n">
        <v>0</v>
      </c>
      <c r="CZ14" s="163" t="n">
        <v>0</v>
      </c>
      <c r="DA14" s="163" t="n">
        <v>0</v>
      </c>
      <c r="DB14" s="163" t="n">
        <v>0</v>
      </c>
      <c r="DC14" s="163" t="n">
        <v>0</v>
      </c>
      <c r="DD14" s="163" t="n">
        <v>0</v>
      </c>
      <c r="DE14" s="163" t="n">
        <v>0</v>
      </c>
      <c r="DF14" s="163" t="n">
        <v>0</v>
      </c>
    </row>
    <row r="15" customFormat="false" ht="15" hidden="false" customHeight="true" outlineLevel="0" collapsed="false">
      <c r="A15" s="90" t="s">
        <v>413</v>
      </c>
      <c r="C15" s="104" t="n">
        <v>0</v>
      </c>
      <c r="D15" s="104" t="n">
        <v>0</v>
      </c>
      <c r="E15" s="104" t="n">
        <v>0</v>
      </c>
      <c r="F15" s="158" t="n">
        <v>0</v>
      </c>
      <c r="G15" s="158" t="n">
        <v>0</v>
      </c>
      <c r="H15" s="158" t="n">
        <v>0</v>
      </c>
      <c r="I15" s="158" t="n">
        <v>644526.72</v>
      </c>
      <c r="J15" s="158" t="n">
        <v>0</v>
      </c>
      <c r="K15" s="158" t="n">
        <v>0</v>
      </c>
      <c r="L15" s="158" t="n">
        <v>442059.825</v>
      </c>
      <c r="M15" s="158" t="n">
        <v>318951.075</v>
      </c>
      <c r="N15" s="158" t="n">
        <v>0</v>
      </c>
      <c r="O15" s="158" t="n">
        <v>0</v>
      </c>
      <c r="P15" s="158" t="n">
        <v>0</v>
      </c>
      <c r="Q15" s="158" t="n">
        <v>0</v>
      </c>
      <c r="R15" s="158" t="n">
        <v>679001.55</v>
      </c>
      <c r="S15" s="158" t="n">
        <v>0</v>
      </c>
      <c r="T15" s="158" t="n">
        <v>0</v>
      </c>
      <c r="U15" s="158" t="n">
        <v>0</v>
      </c>
      <c r="V15" s="158" t="n">
        <v>0</v>
      </c>
      <c r="W15" s="158" t="n">
        <v>0</v>
      </c>
      <c r="X15" s="158" t="n">
        <v>0</v>
      </c>
      <c r="Y15" s="158" t="n">
        <v>0</v>
      </c>
      <c r="Z15" s="158" t="n">
        <v>0</v>
      </c>
      <c r="AA15" s="158" t="n">
        <v>0</v>
      </c>
      <c r="AB15" s="158" t="n">
        <v>0</v>
      </c>
      <c r="AC15" s="158" t="n">
        <v>0</v>
      </c>
      <c r="AD15" s="158" t="n">
        <v>0</v>
      </c>
      <c r="AE15" s="158" t="n">
        <v>0</v>
      </c>
      <c r="AF15" s="158" t="n">
        <v>620319.48</v>
      </c>
      <c r="AG15" s="158" t="n">
        <v>0</v>
      </c>
      <c r="AH15" s="158" t="n">
        <v>0</v>
      </c>
      <c r="AI15" s="158" t="n">
        <v>0</v>
      </c>
      <c r="AJ15" s="158" t="n">
        <v>0</v>
      </c>
      <c r="AK15" s="158" t="n">
        <v>0</v>
      </c>
      <c r="AL15" s="158" t="n">
        <v>0</v>
      </c>
      <c r="AM15" s="158" t="n">
        <v>0</v>
      </c>
      <c r="AN15" s="158" t="n">
        <v>0</v>
      </c>
      <c r="AO15" s="158" t="n">
        <v>0</v>
      </c>
      <c r="AP15" s="158" t="n">
        <v>0</v>
      </c>
      <c r="AQ15" s="158" t="n">
        <v>0</v>
      </c>
      <c r="AR15" s="158" t="n">
        <v>0</v>
      </c>
      <c r="AS15" s="158" t="n">
        <v>0</v>
      </c>
      <c r="AT15" s="158" t="n">
        <v>0</v>
      </c>
      <c r="AU15" s="158" t="n">
        <v>0</v>
      </c>
      <c r="AV15" s="158" t="n">
        <v>0</v>
      </c>
      <c r="AW15" s="158" t="n">
        <v>0</v>
      </c>
      <c r="AX15" s="158" t="n">
        <v>0</v>
      </c>
      <c r="AY15" s="158" t="n">
        <v>0</v>
      </c>
      <c r="AZ15" s="158" t="n">
        <v>0</v>
      </c>
      <c r="BA15" s="158" t="n">
        <v>0</v>
      </c>
      <c r="BB15" s="158" t="n">
        <v>0</v>
      </c>
      <c r="BC15" s="158" t="n">
        <v>0</v>
      </c>
      <c r="BD15" s="158" t="n">
        <v>0</v>
      </c>
      <c r="BE15" s="158" t="n">
        <v>0</v>
      </c>
      <c r="BF15" s="158" t="n">
        <v>0</v>
      </c>
      <c r="BG15" s="158" t="n">
        <v>0</v>
      </c>
      <c r="BH15" s="158" t="n">
        <v>0</v>
      </c>
      <c r="BI15" s="158" t="n">
        <v>0</v>
      </c>
      <c r="BJ15" s="158" t="n">
        <v>0</v>
      </c>
      <c r="BK15" s="158" t="n">
        <v>0</v>
      </c>
      <c r="BL15" s="158" t="n">
        <v>0</v>
      </c>
      <c r="BM15" s="158" t="n">
        <v>0</v>
      </c>
      <c r="BN15" s="158" t="n">
        <v>0</v>
      </c>
      <c r="BO15" s="158" t="n">
        <v>0</v>
      </c>
      <c r="BP15" s="158" t="n">
        <v>0</v>
      </c>
      <c r="BQ15" s="158" t="n">
        <v>0</v>
      </c>
      <c r="BR15" s="158" t="n">
        <v>0</v>
      </c>
      <c r="BS15" s="158" t="n">
        <v>0</v>
      </c>
      <c r="BT15" s="158" t="n">
        <v>0</v>
      </c>
      <c r="BU15" s="158" t="n">
        <v>0</v>
      </c>
      <c r="BV15" s="158" t="n">
        <v>0</v>
      </c>
      <c r="BW15" s="158" t="n">
        <v>0</v>
      </c>
      <c r="BX15" s="158" t="n">
        <v>0</v>
      </c>
      <c r="BY15" s="158" t="n">
        <v>0</v>
      </c>
      <c r="BZ15" s="158" t="n">
        <v>0</v>
      </c>
      <c r="CA15" s="158" t="n">
        <v>0</v>
      </c>
      <c r="CB15" s="158" t="n">
        <v>0</v>
      </c>
      <c r="CC15" s="158" t="n">
        <v>0</v>
      </c>
      <c r="CD15" s="158" t="n">
        <v>0</v>
      </c>
      <c r="CE15" s="158" t="n">
        <v>0</v>
      </c>
      <c r="CF15" s="158" t="n">
        <v>0</v>
      </c>
      <c r="CG15" s="158" t="n">
        <v>0</v>
      </c>
      <c r="CH15" s="158" t="n">
        <v>0</v>
      </c>
      <c r="CI15" s="158" t="n">
        <v>0</v>
      </c>
      <c r="CJ15" s="158" t="n">
        <v>0</v>
      </c>
      <c r="CK15" s="158" t="n">
        <v>0</v>
      </c>
      <c r="CL15" s="158" t="n">
        <v>0</v>
      </c>
      <c r="CM15" s="158" t="n">
        <v>0</v>
      </c>
      <c r="CN15" s="158" t="n">
        <v>0</v>
      </c>
      <c r="CO15" s="158" t="n">
        <v>0</v>
      </c>
      <c r="CP15" s="158" t="n">
        <v>0</v>
      </c>
      <c r="CQ15" s="158" t="n">
        <v>0</v>
      </c>
      <c r="CR15" s="158" t="n">
        <v>0</v>
      </c>
      <c r="CS15" s="158" t="n">
        <v>0</v>
      </c>
      <c r="CT15" s="158" t="n">
        <v>0</v>
      </c>
      <c r="CU15" s="158" t="n">
        <v>0</v>
      </c>
      <c r="CV15" s="158" t="n">
        <v>0</v>
      </c>
      <c r="CW15" s="158" t="n">
        <v>0</v>
      </c>
      <c r="CX15" s="158" t="n">
        <v>0</v>
      </c>
      <c r="CY15" s="158" t="n">
        <v>0</v>
      </c>
      <c r="CZ15" s="158" t="n">
        <v>0</v>
      </c>
      <c r="DA15" s="158" t="n">
        <v>0</v>
      </c>
      <c r="DB15" s="158" t="n">
        <v>0</v>
      </c>
      <c r="DC15" s="158" t="n">
        <v>0</v>
      </c>
      <c r="DD15" s="158" t="n">
        <v>0</v>
      </c>
      <c r="DE15" s="158" t="n">
        <v>0</v>
      </c>
      <c r="DF15" s="158" t="n">
        <v>0</v>
      </c>
    </row>
    <row r="16" customFormat="false" ht="15" hidden="false" customHeight="true" outlineLevel="0" collapsed="false">
      <c r="A16" s="90" t="s">
        <v>415</v>
      </c>
      <c r="C16" s="162" t="n">
        <v>-1966.5</v>
      </c>
      <c r="D16" s="162" t="n">
        <v>0</v>
      </c>
      <c r="E16" s="162" t="n">
        <v>0</v>
      </c>
      <c r="F16" s="158" t="n">
        <v>0</v>
      </c>
      <c r="G16" s="158" t="n">
        <v>0</v>
      </c>
      <c r="H16" s="158" t="n">
        <v>0</v>
      </c>
      <c r="I16" s="158" t="n">
        <v>-317966.5152</v>
      </c>
      <c r="J16" s="158" t="n">
        <v>0</v>
      </c>
      <c r="K16" s="158" t="n">
        <v>0</v>
      </c>
      <c r="L16" s="158" t="n">
        <v>-218082.847</v>
      </c>
      <c r="M16" s="158" t="n">
        <v>-157349.197</v>
      </c>
      <c r="N16" s="158" t="n">
        <v>0</v>
      </c>
      <c r="O16" s="158" t="n">
        <v>0</v>
      </c>
      <c r="P16" s="158" t="n">
        <v>0</v>
      </c>
      <c r="Q16" s="158" t="n">
        <v>0</v>
      </c>
      <c r="R16" s="158" t="n">
        <v>-1471170.025</v>
      </c>
      <c r="S16" s="158" t="n">
        <v>0</v>
      </c>
      <c r="T16" s="158" t="n">
        <v>0</v>
      </c>
      <c r="U16" s="158" t="n">
        <v>0</v>
      </c>
      <c r="V16" s="158" t="n">
        <v>0</v>
      </c>
      <c r="W16" s="158" t="n">
        <v>0</v>
      </c>
      <c r="X16" s="158" t="n">
        <v>0</v>
      </c>
      <c r="Y16" s="158" t="n">
        <v>0</v>
      </c>
      <c r="Z16" s="158" t="n">
        <v>0</v>
      </c>
      <c r="AA16" s="158" t="n">
        <v>0</v>
      </c>
      <c r="AB16" s="158" t="n">
        <v>0</v>
      </c>
      <c r="AC16" s="158" t="n">
        <v>0</v>
      </c>
      <c r="AD16" s="158" t="n">
        <v>0</v>
      </c>
      <c r="AE16" s="158" t="n">
        <v>0</v>
      </c>
      <c r="AF16" s="158" t="n">
        <v>-1344025.54</v>
      </c>
      <c r="AG16" s="158" t="n">
        <v>0</v>
      </c>
      <c r="AH16" s="158" t="n">
        <v>0</v>
      </c>
      <c r="AI16" s="158" t="n">
        <v>0</v>
      </c>
      <c r="AJ16" s="158" t="n">
        <v>0</v>
      </c>
      <c r="AK16" s="158" t="n">
        <v>0</v>
      </c>
      <c r="AL16" s="158" t="n">
        <v>0</v>
      </c>
      <c r="AM16" s="158" t="n">
        <v>0</v>
      </c>
      <c r="AN16" s="158" t="n">
        <v>0</v>
      </c>
      <c r="AO16" s="158" t="n">
        <v>0</v>
      </c>
      <c r="AP16" s="158" t="n">
        <v>0</v>
      </c>
      <c r="AQ16" s="158" t="n">
        <v>0</v>
      </c>
      <c r="AR16" s="158" t="n">
        <v>0</v>
      </c>
      <c r="AS16" s="158" t="n">
        <v>0</v>
      </c>
      <c r="AT16" s="158" t="n">
        <v>0</v>
      </c>
      <c r="AU16" s="158" t="n">
        <v>0</v>
      </c>
      <c r="AV16" s="158" t="n">
        <v>0</v>
      </c>
      <c r="AW16" s="158" t="n">
        <v>0</v>
      </c>
      <c r="AX16" s="158" t="n">
        <v>0</v>
      </c>
      <c r="AY16" s="158" t="n">
        <v>0</v>
      </c>
      <c r="AZ16" s="158" t="n">
        <v>0</v>
      </c>
      <c r="BA16" s="158" t="n">
        <v>0</v>
      </c>
      <c r="BB16" s="158" t="n">
        <v>0</v>
      </c>
      <c r="BC16" s="158" t="n">
        <v>0</v>
      </c>
      <c r="BD16" s="158" t="n">
        <v>0</v>
      </c>
      <c r="BE16" s="158" t="n">
        <v>0</v>
      </c>
      <c r="BF16" s="158" t="n">
        <v>0</v>
      </c>
      <c r="BG16" s="158" t="n">
        <v>0</v>
      </c>
      <c r="BH16" s="158" t="n">
        <v>0</v>
      </c>
      <c r="BI16" s="158" t="n">
        <v>0</v>
      </c>
      <c r="BJ16" s="158" t="n">
        <v>0</v>
      </c>
      <c r="BK16" s="158" t="n">
        <v>0</v>
      </c>
      <c r="BL16" s="158" t="n">
        <v>0</v>
      </c>
      <c r="BM16" s="158" t="n">
        <v>0</v>
      </c>
      <c r="BN16" s="158" t="n">
        <v>0</v>
      </c>
      <c r="BO16" s="158" t="n">
        <v>0</v>
      </c>
      <c r="BP16" s="158" t="n">
        <v>0</v>
      </c>
      <c r="BQ16" s="158" t="n">
        <v>0</v>
      </c>
      <c r="BR16" s="158" t="n">
        <v>0</v>
      </c>
      <c r="BS16" s="158" t="n">
        <v>0</v>
      </c>
      <c r="BT16" s="158" t="n">
        <v>0</v>
      </c>
      <c r="BU16" s="158" t="n">
        <v>0</v>
      </c>
      <c r="BV16" s="158" t="n">
        <v>0</v>
      </c>
      <c r="BW16" s="158" t="n">
        <v>0</v>
      </c>
      <c r="BX16" s="158" t="n">
        <v>0</v>
      </c>
      <c r="BY16" s="158" t="n">
        <v>0</v>
      </c>
      <c r="BZ16" s="158" t="n">
        <v>0</v>
      </c>
      <c r="CA16" s="158" t="n">
        <v>0</v>
      </c>
      <c r="CB16" s="158" t="n">
        <v>0</v>
      </c>
      <c r="CC16" s="158" t="n">
        <v>0</v>
      </c>
      <c r="CD16" s="158" t="n">
        <v>0</v>
      </c>
      <c r="CE16" s="158" t="n">
        <v>0</v>
      </c>
      <c r="CF16" s="158" t="n">
        <v>0</v>
      </c>
      <c r="CG16" s="158" t="n">
        <v>0</v>
      </c>
      <c r="CH16" s="158" t="n">
        <v>0</v>
      </c>
      <c r="CI16" s="158" t="n">
        <v>0</v>
      </c>
      <c r="CJ16" s="158" t="n">
        <v>0</v>
      </c>
      <c r="CK16" s="158" t="n">
        <v>0</v>
      </c>
      <c r="CL16" s="158" t="n">
        <v>0</v>
      </c>
      <c r="CM16" s="158" t="n">
        <v>0</v>
      </c>
      <c r="CN16" s="158" t="n">
        <v>0</v>
      </c>
      <c r="CO16" s="158" t="n">
        <v>0</v>
      </c>
      <c r="CP16" s="158" t="n">
        <v>0</v>
      </c>
      <c r="CQ16" s="158" t="n">
        <v>0</v>
      </c>
      <c r="CR16" s="158" t="n">
        <v>0</v>
      </c>
      <c r="CS16" s="158" t="n">
        <v>0</v>
      </c>
      <c r="CT16" s="158" t="n">
        <v>0</v>
      </c>
      <c r="CU16" s="158" t="n">
        <v>0</v>
      </c>
      <c r="CV16" s="158" t="n">
        <v>0</v>
      </c>
      <c r="CW16" s="158" t="n">
        <v>0</v>
      </c>
      <c r="CX16" s="158" t="n">
        <v>0</v>
      </c>
      <c r="CY16" s="158" t="n">
        <v>0</v>
      </c>
      <c r="CZ16" s="158" t="n">
        <v>0</v>
      </c>
      <c r="DA16" s="158" t="n">
        <v>0</v>
      </c>
      <c r="DB16" s="158" t="n">
        <v>0</v>
      </c>
      <c r="DC16" s="158" t="n">
        <v>0</v>
      </c>
      <c r="DD16" s="158" t="n">
        <v>0</v>
      </c>
      <c r="DE16" s="158" t="n">
        <v>0</v>
      </c>
      <c r="DF16" s="158" t="n">
        <v>0</v>
      </c>
    </row>
    <row r="17" customFormat="false" ht="15" hidden="false" customHeight="true" outlineLevel="0" collapsed="false">
      <c r="A17" s="94" t="s">
        <v>61</v>
      </c>
      <c r="C17" s="162" t="n">
        <f aca="false">C8+C9+C10+C11+C12+C14+C15+C16</f>
        <v>218752.81</v>
      </c>
      <c r="D17" s="162" t="n">
        <f aca="false">D8+D9+D10+D11+D12+D14+D15+D16</f>
        <v>-51003.4699999997</v>
      </c>
      <c r="E17" s="162" t="n">
        <f aca="false">E8+E9+E10+E11+E12+E14+E15+E16</f>
        <v>594184.52</v>
      </c>
      <c r="F17" s="164" t="n">
        <f aca="false">F8+F9+F10+F11+F12+F14+F15+F16</f>
        <v>468885.062220243</v>
      </c>
      <c r="G17" s="164" t="n">
        <f aca="false">G8+G9+G10+G11+G12+G14+G15+G16</f>
        <v>468885.061577853</v>
      </c>
      <c r="H17" s="164" t="n">
        <f aca="false">H8+H9+H10+H11+H12+H14+H15+H16</f>
        <v>468885.064460973</v>
      </c>
      <c r="I17" s="164" t="n">
        <f aca="false">I8+I9+I10+I11+I12+I14+I15+I16</f>
        <v>959257.390269293</v>
      </c>
      <c r="J17" s="164" t="n">
        <f aca="false">J8+J9+J10+J11+J12+J14+J15+J16</f>
        <v>632697.193414873</v>
      </c>
      <c r="K17" s="164" t="n">
        <f aca="false">K8+K9+K10+K11+K12+K14+K15+K16</f>
        <v>632697.191315133</v>
      </c>
      <c r="L17" s="164" t="n">
        <f aca="false">L8+L9+L10+L11+L12+L14+L15+L16</f>
        <v>999101.928826481</v>
      </c>
      <c r="M17" s="164" t="n">
        <f aca="false">M8+M9+M10+M11+M12+M14+M15+M16</f>
        <v>1080952.85657232</v>
      </c>
      <c r="N17" s="164" t="n">
        <f aca="false">N8+N9+N10+N11+N12+N14+N15+N16</f>
        <v>774577.772324943</v>
      </c>
      <c r="O17" s="164" t="n">
        <f aca="false">O8+O9+O10+O11+O12+O14+O15+O16</f>
        <v>774577.770537984</v>
      </c>
      <c r="P17" s="164" t="n">
        <f aca="false">P8+P9+P10+P11+P12+P14+P15+P16</f>
        <v>774577.776024773</v>
      </c>
      <c r="Q17" s="164" t="n">
        <f aca="false">Q8+Q9+Q10+Q11+Q12+Q14+Q15+Q16</f>
        <v>774577.779704433</v>
      </c>
      <c r="R17" s="164" t="n">
        <f aca="false">R8+R9+R10+R11+R12+R14+R15+R16</f>
        <v>154983.50195065</v>
      </c>
      <c r="S17" s="164" t="n">
        <f aca="false">S8+S9+S10+S11+S12+S14+S15+S16</f>
        <v>947151.983524021</v>
      </c>
      <c r="T17" s="164" t="n">
        <f aca="false">T8+T9+T10+T11+T12+T14+T15+T16</f>
        <v>1105813.85892342</v>
      </c>
      <c r="U17" s="164" t="n">
        <f aca="false">U8+U9+U10+U11+U12+U14+U15+U16</f>
        <v>867633.413629646</v>
      </c>
      <c r="V17" s="164" t="n">
        <f aca="false">V8+V9+V10+V11+V12+V14+V15+V16</f>
        <v>601954.6547104</v>
      </c>
      <c r="W17" s="164" t="n">
        <f aca="false">W8+W9+W10+W11+W12+W14+W15+W16</f>
        <v>601954.6587094</v>
      </c>
      <c r="X17" s="164" t="n">
        <f aca="false">X8+X9+X10+X11+X12+X14+X15+X16</f>
        <v>623764.9676489</v>
      </c>
      <c r="Y17" s="164" t="n">
        <f aca="false">Y8+Y9+Y10+Y11+Y12+Y14+Y15+Y16</f>
        <v>580144.3504419</v>
      </c>
      <c r="Z17" s="164" t="n">
        <f aca="false">Z8+Z9+Z10+Z11+Z12+Z14+Z15+Z16</f>
        <v>580144.3529119</v>
      </c>
      <c r="AA17" s="164" t="n">
        <f aca="false">AA8+AA9+AA10+AA11+AA12+AA14+AA15+AA16</f>
        <v>580144.3498339</v>
      </c>
      <c r="AB17" s="164" t="n">
        <f aca="false">AB8+AB9+AB10+AB11+AB12+AB14+AB15+AB16</f>
        <v>580144.3588529</v>
      </c>
      <c r="AC17" s="164" t="n">
        <f aca="false">AC8+AC9+AC10+AC11+AC12+AC14+AC15+AC16</f>
        <v>580144.357590901</v>
      </c>
      <c r="AD17" s="164" t="n">
        <f aca="false">AD8+AD9+AD10+AD11+AD12+AD14+AD15+AD16</f>
        <v>662165.3695031</v>
      </c>
      <c r="AE17" s="164" t="n">
        <f aca="false">AE8+AE9+AE10+AE11+AE12+AE14+AE15+AE16</f>
        <v>498123.3344767</v>
      </c>
      <c r="AF17" s="164" t="n">
        <f aca="false">AF8+AF9+AF10+AF11+AF12+AF14+AF15+AF16</f>
        <v>-67923.0774102029</v>
      </c>
      <c r="AG17" s="164" t="n">
        <f aca="false">AG8+AG9+AG10+AG11+AG12+AG14+AG15+AG16</f>
        <v>655782.981250797</v>
      </c>
      <c r="AH17" s="164" t="n">
        <f aca="false">AH8+AH9+AH10+AH11+AH12+AH14+AH15+AH16</f>
        <v>655782.976043797</v>
      </c>
      <c r="AI17" s="164" t="n">
        <f aca="false">AI8+AI9+AI10+AI11+AI12+AI14+AI15+AI16</f>
        <v>655782.975101797</v>
      </c>
      <c r="AJ17" s="164" t="n">
        <f aca="false">AJ8+AJ9+AJ10+AJ11+AJ12+AJ14+AJ15+AJ16</f>
        <v>783779.105710297</v>
      </c>
      <c r="AK17" s="164" t="n">
        <f aca="false">AK8+AK9+AK10+AK11+AK12+AK14+AK15+AK16</f>
        <v>554452.709800521</v>
      </c>
      <c r="AL17" s="164" t="n">
        <f aca="false">AL8+AL9+AL10+AL11+AL12+AL14+AL15+AL16</f>
        <v>813103.432065321</v>
      </c>
      <c r="AM17" s="164" t="n">
        <f aca="false">AM8+AM9+AM10+AM11+AM12+AM14+AM15+AM16</f>
        <v>390640.582555881</v>
      </c>
      <c r="AN17" s="164" t="n">
        <f aca="false">AN8+AN9+AN10+AN11+AN12+AN14+AN15+AN16</f>
        <v>390640.588328881</v>
      </c>
      <c r="AO17" s="164" t="n">
        <f aca="false">AO8+AO9+AO10+AO11+AO12+AO14+AO15+AO16</f>
        <v>486019.649869181</v>
      </c>
      <c r="AP17" s="164" t="n">
        <f aca="false">AP8+AP9+AP10+AP11+AP12+AP14+AP15+AP16</f>
        <v>330233.846573524</v>
      </c>
      <c r="AQ17" s="164" t="n">
        <f aca="false">AQ8+AQ9+AQ10+AQ11+AQ12+AQ14+AQ15+AQ16</f>
        <v>330233.845461524</v>
      </c>
      <c r="AR17" s="164" t="n">
        <f aca="false">AR8+AR9+AR10+AR11+AR12+AR14+AR15+AR16</f>
        <v>330233.849225524</v>
      </c>
      <c r="AS17" s="164" t="n">
        <f aca="false">AS8+AS9+AS10+AS11+AS12+AS14+AS15+AS16</f>
        <v>330233.844645524</v>
      </c>
      <c r="AT17" s="164" t="n">
        <f aca="false">AT8+AT9+AT10+AT11+AT12+AT14+AT15+AT16</f>
        <v>330233.839951524</v>
      </c>
      <c r="AU17" s="164" t="n">
        <f aca="false">AU8+AU9+AU10+AU11+AU12+AU14+AU15+AU16</f>
        <v>602719.433748524</v>
      </c>
      <c r="AV17" s="164" t="n">
        <f aca="false">AV8+AV9+AV10+AV11+AV12+AV14+AV15+AV16</f>
        <v>157659.645521097</v>
      </c>
      <c r="AW17" s="164" t="n">
        <f aca="false">AW8+AW9+AW10+AW11+AW12+AW14+AW15+AW16</f>
        <v>157659.644321097</v>
      </c>
      <c r="AX17" s="164" t="n">
        <f aca="false">AX8+AX9+AX10+AX11+AX12+AX14+AX15+AX16</f>
        <v>157659.639297097</v>
      </c>
      <c r="AY17" s="164" t="n">
        <f aca="false">AY8+AY9+AY10+AY11+AY12+AY14+AY15+AY16</f>
        <v>157659.645169097</v>
      </c>
      <c r="AZ17" s="164" t="n">
        <f aca="false">AZ8+AZ9+AZ10+AZ11+AZ12+AZ14+AZ15+AZ16</f>
        <v>157659.644233097</v>
      </c>
      <c r="BA17" s="164" t="n">
        <f aca="false">BA8+BA9+BA10+BA11+BA12+BA14+BA15+BA16</f>
        <v>157659.641729097</v>
      </c>
      <c r="BB17" s="164" t="n">
        <f aca="false">BB8+BB9+BB10+BB11+BB12+BB14+BB15+BB16</f>
        <v>157659.640473097</v>
      </c>
      <c r="BC17" s="164" t="n">
        <f aca="false">BC8+BC9+BC10+BC11+BC12+BC14+BC15+BC16</f>
        <v>157659.637913097</v>
      </c>
      <c r="BD17" s="164" t="n">
        <f aca="false">BD8+BD9+BD10+BD11+BD12+BD14+BD15+BD16</f>
        <v>157659.637601097</v>
      </c>
      <c r="BE17" s="164" t="n">
        <f aca="false">BE8+BE9+BE10+BE11+BE12+BE14+BE15+BE16</f>
        <v>157659.641617094</v>
      </c>
      <c r="BF17" s="164" t="n">
        <f aca="false">BF8+BF9+BF10+BF11+BF12+BF14+BF15+BF16</f>
        <v>157659.645201094</v>
      </c>
      <c r="BG17" s="164" t="n">
        <f aca="false">BG8+BG9+BG10+BG11+BG12+BG14+BG15+BG16</f>
        <v>157659.636753094</v>
      </c>
      <c r="BH17" s="164" t="n">
        <f aca="false">BH8+BH9+BH10+BH11+BH12+BH14+BH15+BH16</f>
        <v>157659.636361094</v>
      </c>
      <c r="BI17" s="164" t="n">
        <f aca="false">BI8+BI9+BI10+BI11+BI12+BI14+BI15+BI16</f>
        <v>406595.912016293</v>
      </c>
      <c r="BJ17" s="164" t="n">
        <f aca="false">BJ8+BJ9+BJ10+BJ11+BJ12+BJ14+BJ15+BJ16</f>
        <v>0</v>
      </c>
      <c r="BK17" s="164" t="n">
        <f aca="false">BK8+BK9+BK10+BK11+BK12+BK14+BK15+BK16</f>
        <v>0</v>
      </c>
      <c r="BL17" s="164" t="n">
        <f aca="false">BL8+BL9+BL10+BL11+BL12+BL14+BL15+BL16</f>
        <v>0</v>
      </c>
      <c r="BM17" s="164" t="n">
        <f aca="false">BM8+BM9+BM10+BM11+BM12+BM14+BM15+BM16</f>
        <v>0</v>
      </c>
      <c r="BN17" s="164" t="n">
        <f aca="false">BN8+BN9+BN10+BN11+BN12+BN14+BN15+BN16</f>
        <v>0</v>
      </c>
      <c r="BO17" s="164" t="n">
        <f aca="false">BO8+BO9+BO10+BO11+BO12+BO14+BO15+BO16</f>
        <v>0</v>
      </c>
      <c r="BP17" s="164" t="n">
        <f aca="false">BP8+BP9+BP10+BP11+BP12+BP14+BP15+BP16</f>
        <v>0</v>
      </c>
      <c r="BQ17" s="164" t="n">
        <f aca="false">BQ8+BQ9+BQ10+BQ11+BQ12+BQ14+BQ15+BQ16</f>
        <v>0</v>
      </c>
      <c r="BR17" s="164" t="n">
        <f aca="false">BR8+BR9+BR10+BR11+BR12+BR14+BR15+BR16</f>
        <v>0</v>
      </c>
      <c r="BS17" s="164" t="n">
        <f aca="false">BS8+BS9+BS10+BS11+BS12+BS14+BS15+BS16</f>
        <v>0</v>
      </c>
      <c r="BT17" s="164" t="n">
        <f aca="false">BT8+BT9+BT10+BT11+BT12+BT14+BT15+BT16</f>
        <v>0</v>
      </c>
      <c r="BU17" s="164" t="n">
        <f aca="false">BU8+BU9+BU10+BU11+BU12+BU14+BU15+BU16</f>
        <v>0</v>
      </c>
      <c r="BV17" s="164" t="n">
        <f aca="false">BV8+BV9+BV10+BV11+BV12+BV14+BV15+BV16</f>
        <v>0</v>
      </c>
      <c r="BW17" s="164" t="n">
        <f aca="false">BW8+BW9+BW10+BW11+BW12+BW14+BW15+BW16</f>
        <v>0</v>
      </c>
      <c r="BX17" s="164" t="n">
        <f aca="false">BX8+BX9+BX10+BX11+BX12+BX14+BX15+BX16</f>
        <v>0</v>
      </c>
      <c r="BY17" s="164" t="n">
        <f aca="false">BY8+BY9+BY10+BY11+BY12+BY14+BY15+BY16</f>
        <v>0</v>
      </c>
      <c r="BZ17" s="164" t="n">
        <f aca="false">BZ8+BZ9+BZ10+BZ11+BZ12+BZ14+BZ15+BZ16</f>
        <v>0</v>
      </c>
      <c r="CA17" s="164" t="n">
        <f aca="false">CA8+CA9+CA10+CA11+CA12+CA14+CA15+CA16</f>
        <v>0</v>
      </c>
      <c r="CB17" s="164" t="n">
        <f aca="false">CB8+CB9+CB10+CB11+CB12+CB14+CB15+CB16</f>
        <v>0</v>
      </c>
      <c r="CC17" s="164" t="n">
        <f aca="false">CC8+CC9+CC10+CC11+CC12+CC14+CC15+CC16</f>
        <v>0</v>
      </c>
      <c r="CD17" s="164" t="n">
        <f aca="false">CD8+CD9+CD10+CD11+CD12+CD14+CD15+CD16</f>
        <v>0</v>
      </c>
      <c r="CE17" s="164" t="n">
        <f aca="false">CE8+CE9+CE10+CE11+CE12+CE14+CE15+CE16</f>
        <v>0</v>
      </c>
      <c r="CF17" s="164" t="n">
        <f aca="false">CF8+CF9+CF10+CF11+CF12+CF14+CF15+CF16</f>
        <v>0</v>
      </c>
      <c r="CG17" s="164" t="n">
        <f aca="false">CG8+CG9+CG10+CG11+CG12+CG14+CG15+CG16</f>
        <v>0</v>
      </c>
      <c r="CH17" s="164" t="n">
        <f aca="false">CH8+CH9+CH10+CH11+CH12+CH14+CH15+CH16</f>
        <v>0</v>
      </c>
      <c r="CI17" s="164" t="n">
        <f aca="false">CI8+CI9+CI10+CI11+CI12+CI14+CI15+CI16</f>
        <v>0</v>
      </c>
      <c r="CJ17" s="164" t="n">
        <f aca="false">CJ8+CJ9+CJ10+CJ11+CJ12+CJ14+CJ15+CJ16</f>
        <v>0</v>
      </c>
      <c r="CK17" s="164" t="n">
        <f aca="false">CK8+CK9+CK10+CK11+CK12+CK14+CK15+CK16</f>
        <v>0</v>
      </c>
      <c r="CL17" s="164" t="n">
        <f aca="false">CL8+CL9+CL10+CL11+CL12+CL14+CL15+CL16</f>
        <v>0</v>
      </c>
      <c r="CM17" s="164" t="n">
        <f aca="false">CM8+CM9+CM10+CM11+CM12+CM14+CM15+CM16</f>
        <v>0</v>
      </c>
      <c r="CN17" s="164" t="n">
        <f aca="false">CN8+CN9+CN10+CN11+CN12+CN14+CN15+CN16</f>
        <v>0</v>
      </c>
      <c r="CO17" s="164" t="n">
        <f aca="false">CO8+CO9+CO10+CO11+CO12+CO14+CO15+CO16</f>
        <v>0</v>
      </c>
      <c r="CP17" s="164" t="n">
        <f aca="false">CP8+CP9+CP10+CP11+CP12+CP14+CP15+CP16</f>
        <v>0</v>
      </c>
      <c r="CQ17" s="164" t="n">
        <f aca="false">CQ8+CQ9+CQ10+CQ11+CQ12+CQ14+CQ15+CQ16</f>
        <v>0</v>
      </c>
      <c r="CR17" s="164" t="n">
        <f aca="false">CR8+CR9+CR10+CR11+CR12+CR14+CR15+CR16</f>
        <v>0</v>
      </c>
      <c r="CS17" s="164" t="n">
        <f aca="false">CS8+CS9+CS10+CS11+CS12+CS14+CS15+CS16</f>
        <v>0</v>
      </c>
      <c r="CT17" s="164" t="n">
        <f aca="false">CT8+CT9+CT10+CT11+CT12+CT14+CT15+CT16</f>
        <v>0</v>
      </c>
      <c r="CU17" s="164" t="n">
        <f aca="false">CU8+CU9+CU10+CU11+CU12+CU14+CU15+CU16</f>
        <v>0</v>
      </c>
      <c r="CV17" s="164" t="n">
        <f aca="false">CV8+CV9+CV10+CV11+CV12+CV14+CV15+CV16</f>
        <v>0</v>
      </c>
      <c r="CW17" s="164" t="n">
        <f aca="false">CW8+CW9+CW10+CW11+CW12+CW14+CW15+CW16</f>
        <v>0</v>
      </c>
      <c r="CX17" s="164" t="n">
        <f aca="false">CX8+CX9+CX10+CX11+CX12+CX14+CX15+CX16</f>
        <v>0</v>
      </c>
      <c r="CY17" s="164" t="n">
        <f aca="false">CY8+CY9+CY10+CY11+CY12+CY14+CY15+CY16</f>
        <v>0</v>
      </c>
      <c r="CZ17" s="164" t="n">
        <f aca="false">CZ8+CZ9+CZ10+CZ11+CZ12+CZ14+CZ15+CZ16</f>
        <v>0</v>
      </c>
      <c r="DA17" s="164" t="n">
        <f aca="false">DA8+DA9+DA10+DA11+DA12+DA14+DA15+DA16</f>
        <v>0</v>
      </c>
      <c r="DB17" s="164" t="n">
        <f aca="false">DB8+DB9+DB10+DB11+DB12+DB14+DB15+DB16</f>
        <v>0</v>
      </c>
      <c r="DC17" s="164" t="n">
        <f aca="false">DC8+DC9+DC10+DC11+DC12+DC14+DC15+DC16</f>
        <v>0</v>
      </c>
      <c r="DD17" s="164" t="n">
        <f aca="false">DD8+DD9+DD10+DD11+DD12+DD14+DD15+DD16</f>
        <v>0</v>
      </c>
      <c r="DE17" s="164" t="n">
        <f aca="false">DE8+DE9+DE10+DE11+DE12+DE14+DE15+DE16</f>
        <v>0</v>
      </c>
      <c r="DF17" s="164" t="n">
        <f aca="false">DF8+DF9+DF10+DF11+DF12+DF14+DF15+DF16</f>
        <v>0</v>
      </c>
    </row>
    <row r="18" customFormat="false" ht="15" hidden="false" customHeight="true" outlineLevel="0" collapsed="false">
      <c r="A18" s="99" t="s">
        <v>62</v>
      </c>
      <c r="C18" s="165" t="n">
        <f aca="false">IFERROR(C17/C13,0)</f>
        <v>0.150471045017236</v>
      </c>
      <c r="D18" s="165" t="n">
        <f aca="false">IFERROR(D17/D13,0)</f>
        <v>-0.0168744917256745</v>
      </c>
      <c r="E18" s="165" t="n">
        <f aca="false">IFERROR(E17/E13,0)</f>
        <v>0.222356457869786</v>
      </c>
      <c r="F18" s="165" t="n">
        <f aca="false">IFERROR(F17/F13,0)</f>
        <v>0.105264113664828</v>
      </c>
      <c r="G18" s="165" t="n">
        <f aca="false">IFERROR(G17/G13,0)</f>
        <v>0.100893494681087</v>
      </c>
      <c r="H18" s="165" t="n">
        <f aca="false">IFERROR(H17/H13,0)</f>
        <v>0.0980201268401047</v>
      </c>
      <c r="I18" s="165" t="n">
        <f aca="false">IFERROR(I17/I13,0)</f>
        <v>0.167309905929422</v>
      </c>
      <c r="J18" s="165" t="n">
        <f aca="false">IFERROR(J17/J13,0)</f>
        <v>0.107365807007325</v>
      </c>
      <c r="K18" s="165" t="n">
        <f aca="false">IFERROR(K17/K13,0)</f>
        <v>0.105704075939302</v>
      </c>
      <c r="L18" s="165" t="n">
        <f aca="false">IFERROR(L17/L13,0)</f>
        <v>0.150814779277228</v>
      </c>
      <c r="M18" s="165" t="n">
        <f aca="false">IFERROR(M17/M13,0)</f>
        <v>0.148792647101115</v>
      </c>
      <c r="N18" s="165" t="n">
        <f aca="false">IFERROR(N17/N13,0)</f>
        <v>0.110926259195399</v>
      </c>
      <c r="O18" s="165" t="n">
        <f aca="false">IFERROR(O17/O13,0)</f>
        <v>0.108025800800876</v>
      </c>
      <c r="P18" s="165" t="n">
        <f aca="false">IFERROR(P17/P13,0)</f>
        <v>0.106087748456871</v>
      </c>
      <c r="Q18" s="165" t="n">
        <f aca="false">IFERROR(Q17/Q13,0)</f>
        <v>0.105058015157573</v>
      </c>
      <c r="R18" s="165" t="n">
        <f aca="false">IFERROR(R17/R13,0)</f>
        <v>0.0191094371678703</v>
      </c>
      <c r="S18" s="165" t="n">
        <f aca="false">IFERROR(S17/S13,0)</f>
        <v>0.116048713226721</v>
      </c>
      <c r="T18" s="165" t="n">
        <f aca="false">IFERROR(T17/T13,0)</f>
        <v>0.135680955894734</v>
      </c>
      <c r="U18" s="165" t="n">
        <f aca="false">IFERROR(U17/U13,0)</f>
        <v>0.11682812020011</v>
      </c>
      <c r="V18" s="165" t="n">
        <f aca="false">IFERROR(V17/V13,0)</f>
        <v>0.0865663483426912</v>
      </c>
      <c r="W18" s="165" t="n">
        <f aca="false">IFERROR(W17/W13,0)</f>
        <v>0.0865764886943788</v>
      </c>
      <c r="X18" s="165" t="n">
        <f aca="false">IFERROR(X17/X13,0)</f>
        <v>0.0909845839415544</v>
      </c>
      <c r="Y18" s="165" t="n">
        <f aca="false">IFERROR(Y17/Y13,0)</f>
        <v>0.0879482813665944</v>
      </c>
      <c r="Z18" s="165" t="n">
        <f aca="false">IFERROR(Z17/Z13,0)</f>
        <v>0.0912437201677728</v>
      </c>
      <c r="AA18" s="165" t="n">
        <f aca="false">IFERROR(AA17/AA13,0)</f>
        <v>0.0957144398553047</v>
      </c>
      <c r="AB18" s="165" t="n">
        <f aca="false">IFERROR(AB17/AB13,0)</f>
        <v>0.101377381818003</v>
      </c>
      <c r="AC18" s="165" t="n">
        <f aca="false">IFERROR(AC17/AC13,0)</f>
        <v>0.10825203667329</v>
      </c>
      <c r="AD18" s="165" t="n">
        <f aca="false">IFERROR(AD17/AD13,0)</f>
        <v>0.132814167423613</v>
      </c>
      <c r="AE18" s="165" t="n">
        <f aca="false">IFERROR(AE17/AE13,0)</f>
        <v>0.115069804421248</v>
      </c>
      <c r="AF18" s="165" t="n">
        <f aca="false">IFERROR(AF17/AF13,0)</f>
        <v>-0.0159649876760295</v>
      </c>
      <c r="AG18" s="165" t="n">
        <f aca="false">IFERROR(AG17/AG13,0)</f>
        <v>0.190787581519573</v>
      </c>
      <c r="AH18" s="165" t="n">
        <f aca="false">IFERROR(AH17/AH13,0)</f>
        <v>0.188285775793716</v>
      </c>
      <c r="AI18" s="165" t="n">
        <f aca="false">IFERROR(AI17/AI13,0)</f>
        <v>0.186782436451232</v>
      </c>
      <c r="AJ18" s="165" t="n">
        <f aca="false">IFERROR(AJ17/AJ13,0)</f>
        <v>0.222551379831078</v>
      </c>
      <c r="AK18" s="165" t="n">
        <f aca="false">IFERROR(AK17/AK13,0)</f>
        <v>0.157687973771174</v>
      </c>
      <c r="AL18" s="165" t="n">
        <f aca="false">IFERROR(AL17/AL13,0)</f>
        <v>0.232666504249759</v>
      </c>
      <c r="AM18" s="165" t="n">
        <f aca="false">IFERROR(AM17/AM13,0)</f>
        <v>0.11295660264179</v>
      </c>
      <c r="AN18" s="165" t="n">
        <f aca="false">IFERROR(AN17/AN13,0)</f>
        <v>0.114632250921528</v>
      </c>
      <c r="AO18" s="165" t="n">
        <f aca="false">IFERROR(AO17/AO13,0)</f>
        <v>0.145347216709165</v>
      </c>
      <c r="AP18" s="165" t="n">
        <f aca="false">IFERROR(AP17/AP13,0)</f>
        <v>0.108356210750033</v>
      </c>
      <c r="AQ18" s="165" t="n">
        <f aca="false">IFERROR(AQ17/AQ13,0)</f>
        <v>0.110386938641138</v>
      </c>
      <c r="AR18" s="165" t="n">
        <f aca="false">IFERROR(AR17/AR13,0)</f>
        <v>0.113051926701939</v>
      </c>
      <c r="AS18" s="165" t="n">
        <f aca="false">IFERROR(AS17/AS13,0)</f>
        <v>0.116414229400565</v>
      </c>
      <c r="AT18" s="165" t="n">
        <f aca="false">IFERROR(AT17/AT13,0)</f>
        <v>0.12055310865161</v>
      </c>
      <c r="AU18" s="165" t="n">
        <f aca="false">IFERROR(AU17/AU13,0)</f>
        <v>0.229178494664299</v>
      </c>
      <c r="AV18" s="165" t="n">
        <f aca="false">IFERROR(AV17/AV13,0)</f>
        <v>0.0837646775590833</v>
      </c>
      <c r="AW18" s="165" t="n">
        <f aca="false">IFERROR(AW17/AW13,0)</f>
        <v>0.0854545030152378</v>
      </c>
      <c r="AX18" s="165" t="n">
        <f aca="false">IFERROR(AX17/AX13,0)</f>
        <v>0.0880559332951466</v>
      </c>
      <c r="AY18" s="165" t="n">
        <f aca="false">IFERROR(AY17/AY13,0)</f>
        <v>0.0916459953635472</v>
      </c>
      <c r="AZ18" s="165" t="n">
        <f aca="false">IFERROR(AZ17/AZ13,0)</f>
        <v>0.0963403856309272</v>
      </c>
      <c r="BA18" s="165" t="n">
        <f aca="false">IFERROR(BA17/BA13,0)</f>
        <v>0.102293640434331</v>
      </c>
      <c r="BB18" s="165" t="n">
        <f aca="false">IFERROR(BB17/BB13,0)</f>
        <v>0.109702510881483</v>
      </c>
      <c r="BC18" s="165" t="n">
        <f aca="false">IFERROR(BC17/BC13,0)</f>
        <v>0.118832417046729</v>
      </c>
      <c r="BD18" s="165" t="n">
        <f aca="false">IFERROR(BD17/BD13,0)</f>
        <v>0.130013354633857</v>
      </c>
      <c r="BE18" s="165" t="n">
        <f aca="false">IFERROR(BE17/BE13,0)</f>
        <v>0.143673701984803</v>
      </c>
      <c r="BF18" s="165" t="n">
        <f aca="false">IFERROR(BF17/BF13,0)</f>
        <v>0.160366035192509</v>
      </c>
      <c r="BG18" s="165" t="n">
        <f aca="false">IFERROR(BG17/BG13,0)</f>
        <v>0.180792980753182</v>
      </c>
      <c r="BH18" s="165" t="n">
        <f aca="false">IFERROR(BH17/BH13,0)</f>
        <v>0.205874369808341</v>
      </c>
      <c r="BI18" s="165" t="n">
        <f aca="false">IFERROR(BI17/BI13,0)</f>
        <v>0.610641055206121</v>
      </c>
      <c r="BJ18" s="165" t="n">
        <f aca="false">IFERROR(BJ17/BJ13,0)</f>
        <v>0</v>
      </c>
      <c r="BK18" s="165" t="n">
        <f aca="false">IFERROR(BK17/BK13,0)</f>
        <v>0</v>
      </c>
      <c r="BL18" s="165" t="n">
        <f aca="false">IFERROR(BL17/BL13,0)</f>
        <v>0</v>
      </c>
      <c r="BM18" s="165" t="n">
        <f aca="false">IFERROR(BM17/BM13,0)</f>
        <v>0</v>
      </c>
      <c r="BN18" s="165" t="n">
        <f aca="false">IFERROR(BN17/BN13,0)</f>
        <v>0</v>
      </c>
      <c r="BO18" s="165" t="n">
        <f aca="false">IFERROR(BO17/BO13,0)</f>
        <v>0</v>
      </c>
      <c r="BP18" s="165" t="n">
        <f aca="false">IFERROR(BP17/BP13,0)</f>
        <v>0</v>
      </c>
      <c r="BQ18" s="165" t="n">
        <f aca="false">IFERROR(BQ17/BQ13,0)</f>
        <v>0</v>
      </c>
      <c r="BR18" s="165" t="n">
        <f aca="false">IFERROR(BR17/BR13,0)</f>
        <v>0</v>
      </c>
      <c r="BS18" s="165" t="n">
        <f aca="false">IFERROR(BS17/BS13,0)</f>
        <v>0</v>
      </c>
      <c r="BT18" s="165" t="n">
        <f aca="false">IFERROR(BT17/BT13,0)</f>
        <v>0</v>
      </c>
      <c r="BU18" s="165" t="n">
        <f aca="false">IFERROR(BU17/BU13,0)</f>
        <v>0</v>
      </c>
      <c r="BV18" s="165" t="n">
        <f aca="false">IFERROR(BV17/BV13,0)</f>
        <v>0</v>
      </c>
      <c r="BW18" s="165" t="n">
        <f aca="false">IFERROR(BW17/BW13,0)</f>
        <v>0</v>
      </c>
      <c r="BX18" s="165" t="n">
        <f aca="false">IFERROR(BX17/BX13,0)</f>
        <v>0</v>
      </c>
      <c r="BY18" s="165" t="n">
        <f aca="false">IFERROR(BY17/BY13,0)</f>
        <v>0</v>
      </c>
      <c r="BZ18" s="165" t="n">
        <f aca="false">IFERROR(BZ17/BZ13,0)</f>
        <v>0</v>
      </c>
      <c r="CA18" s="165" t="n">
        <f aca="false">IFERROR(CA17/CA13,0)</f>
        <v>0</v>
      </c>
      <c r="CB18" s="165" t="n">
        <f aca="false">IFERROR(CB17/CB13,0)</f>
        <v>0</v>
      </c>
      <c r="CC18" s="165" t="n">
        <f aca="false">IFERROR(CC17/CC13,0)</f>
        <v>0</v>
      </c>
      <c r="CD18" s="165" t="n">
        <f aca="false">IFERROR(CD17/CD13,0)</f>
        <v>0</v>
      </c>
      <c r="CE18" s="165" t="n">
        <f aca="false">IFERROR(CE17/CE13,0)</f>
        <v>0</v>
      </c>
      <c r="CF18" s="165" t="n">
        <f aca="false">IFERROR(CF17/CF13,0)</f>
        <v>0</v>
      </c>
      <c r="CG18" s="165" t="n">
        <f aca="false">IFERROR(CG17/CG13,0)</f>
        <v>0</v>
      </c>
      <c r="CH18" s="165" t="n">
        <f aca="false">IFERROR(CH17/CH13,0)</f>
        <v>0</v>
      </c>
      <c r="CI18" s="165" t="n">
        <f aca="false">IFERROR(CI17/CI13,0)</f>
        <v>0</v>
      </c>
      <c r="CJ18" s="165" t="n">
        <f aca="false">IFERROR(CJ17/CJ13,0)</f>
        <v>0</v>
      </c>
      <c r="CK18" s="165" t="n">
        <f aca="false">IFERROR(CK17/CK13,0)</f>
        <v>0</v>
      </c>
      <c r="CL18" s="165" t="n">
        <f aca="false">IFERROR(CL17/CL13,0)</f>
        <v>0</v>
      </c>
      <c r="CM18" s="165" t="n">
        <f aca="false">IFERROR(CM17/CM13,0)</f>
        <v>0</v>
      </c>
      <c r="CN18" s="165" t="n">
        <f aca="false">IFERROR(CN17/CN13,0)</f>
        <v>0</v>
      </c>
      <c r="CO18" s="165" t="n">
        <f aca="false">IFERROR(CO17/CO13,0)</f>
        <v>0</v>
      </c>
      <c r="CP18" s="165" t="n">
        <f aca="false">IFERROR(CP17/CP13,0)</f>
        <v>0</v>
      </c>
      <c r="CQ18" s="165" t="n">
        <f aca="false">IFERROR(CQ17/CQ13,0)</f>
        <v>0</v>
      </c>
      <c r="CR18" s="165" t="n">
        <f aca="false">IFERROR(CR17/CR13,0)</f>
        <v>0</v>
      </c>
      <c r="CS18" s="165" t="n">
        <f aca="false">IFERROR(CS17/CS13,0)</f>
        <v>0</v>
      </c>
      <c r="CT18" s="165" t="n">
        <f aca="false">IFERROR(CT17/CT13,0)</f>
        <v>0</v>
      </c>
      <c r="CU18" s="165" t="n">
        <f aca="false">IFERROR(CU17/CU13,0)</f>
        <v>0</v>
      </c>
      <c r="CV18" s="165" t="n">
        <f aca="false">IFERROR(CV17/CV13,0)</f>
        <v>0</v>
      </c>
      <c r="CW18" s="165" t="n">
        <f aca="false">IFERROR(CW17/CW13,0)</f>
        <v>0</v>
      </c>
      <c r="CX18" s="165" t="n">
        <f aca="false">IFERROR(CX17/CX13,0)</f>
        <v>0</v>
      </c>
      <c r="CY18" s="165" t="n">
        <f aca="false">IFERROR(CY17/CY13,0)</f>
        <v>0</v>
      </c>
      <c r="CZ18" s="165" t="n">
        <f aca="false">IFERROR(CZ17/CZ13,0)</f>
        <v>0</v>
      </c>
      <c r="DA18" s="165" t="n">
        <f aca="false">IFERROR(DA17/DA13,0)</f>
        <v>0</v>
      </c>
      <c r="DB18" s="165" t="n">
        <f aca="false">IFERROR(DB17/DB13,0)</f>
        <v>0</v>
      </c>
      <c r="DC18" s="165" t="n">
        <f aca="false">IFERROR(DC17/DC13,0)</f>
        <v>0</v>
      </c>
      <c r="DD18" s="165" t="n">
        <f aca="false">IFERROR(DD17/DD13,0)</f>
        <v>0</v>
      </c>
      <c r="DE18" s="165" t="n">
        <f aca="false">IFERROR(DE17/DE13,0)</f>
        <v>0</v>
      </c>
      <c r="DF18" s="165" t="n">
        <f aca="false">IFERROR(DF17/DF13,0)</f>
        <v>0</v>
      </c>
    </row>
    <row r="19" customFormat="false" ht="15" hidden="false" customHeight="true" outlineLevel="0" collapsed="false">
      <c r="A19" s="90"/>
      <c r="C19" s="104"/>
      <c r="D19" s="104"/>
      <c r="E19" s="104"/>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c r="CY19" s="158"/>
      <c r="CZ19" s="158"/>
      <c r="DA19" s="158"/>
      <c r="DB19" s="158"/>
      <c r="DC19" s="158"/>
      <c r="DD19" s="158"/>
      <c r="DE19" s="158"/>
      <c r="DF19" s="158"/>
    </row>
    <row r="20" customFormat="false" ht="15" hidden="false" customHeight="true" outlineLevel="0" collapsed="false">
      <c r="A20" s="90"/>
      <c r="C20" s="104"/>
      <c r="D20" s="104"/>
      <c r="E20" s="104"/>
      <c r="F20" s="158"/>
      <c r="G20" s="158"/>
      <c r="H20" s="158"/>
      <c r="I20" s="158"/>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c r="CY20" s="158"/>
      <c r="CZ20" s="158"/>
      <c r="DA20" s="158"/>
      <c r="DB20" s="158"/>
      <c r="DC20" s="158"/>
      <c r="DD20" s="158"/>
      <c r="DE20" s="158"/>
      <c r="DF20" s="158"/>
    </row>
    <row r="21" customFormat="false" ht="15" hidden="false" customHeight="true" outlineLevel="0" collapsed="false">
      <c r="A21" s="90" t="s">
        <v>123</v>
      </c>
      <c r="C21" s="104" t="n">
        <v>-144550.9</v>
      </c>
      <c r="D21" s="104" t="n">
        <v>-150672.84</v>
      </c>
      <c r="E21" s="104" t="n">
        <v>-178867.86</v>
      </c>
      <c r="F21" s="158" t="n">
        <v>-164791.666666667</v>
      </c>
      <c r="G21" s="158" t="n">
        <v>-189375</v>
      </c>
      <c r="H21" s="158" t="n">
        <v>-214375</v>
      </c>
      <c r="I21" s="158" t="n">
        <v>-225208.333333333</v>
      </c>
      <c r="J21" s="158" t="n">
        <v>-225208.333333333</v>
      </c>
      <c r="K21" s="158" t="n">
        <v>-225208.333333333</v>
      </c>
      <c r="L21" s="158" t="n">
        <v>-246041.666666667</v>
      </c>
      <c r="M21" s="158" t="n">
        <v>-276041.666666667</v>
      </c>
      <c r="N21" s="158" t="n">
        <v>-276041.666666667</v>
      </c>
      <c r="O21" s="158" t="n">
        <v>-276041.666666667</v>
      </c>
      <c r="P21" s="158" t="n">
        <v>-276041.666666667</v>
      </c>
      <c r="Q21" s="158" t="n">
        <v>-276041.666666667</v>
      </c>
      <c r="R21" s="158" t="n">
        <v>-295162.5</v>
      </c>
      <c r="S21" s="158" t="n">
        <v>-295162.5</v>
      </c>
      <c r="T21" s="158" t="n">
        <v>-295162.5</v>
      </c>
      <c r="U21" s="158" t="n">
        <v>-295162.5</v>
      </c>
      <c r="V21" s="158" t="n">
        <v>-295162.5</v>
      </c>
      <c r="W21" s="158" t="n">
        <v>-295162.5</v>
      </c>
      <c r="X21" s="158" t="n">
        <v>-295162.5</v>
      </c>
      <c r="Y21" s="158" t="n">
        <v>-295162.5</v>
      </c>
      <c r="Z21" s="158" t="n">
        <v>-295162.5</v>
      </c>
      <c r="AA21" s="158" t="n">
        <v>-295162.5</v>
      </c>
      <c r="AB21" s="158" t="n">
        <v>-295162.5</v>
      </c>
      <c r="AC21" s="158" t="n">
        <v>-295162.5</v>
      </c>
      <c r="AD21" s="158" t="n">
        <v>-301065.75</v>
      </c>
      <c r="AE21" s="158" t="n">
        <v>-301065.75</v>
      </c>
      <c r="AF21" s="158" t="n">
        <v>-301065.75</v>
      </c>
      <c r="AG21" s="158" t="n">
        <v>-301065.75</v>
      </c>
      <c r="AH21" s="158" t="n">
        <v>-301065.75</v>
      </c>
      <c r="AI21" s="158" t="n">
        <v>-301065.75</v>
      </c>
      <c r="AJ21" s="158" t="n">
        <v>-301065.75</v>
      </c>
      <c r="AK21" s="158" t="n">
        <v>-301065.75</v>
      </c>
      <c r="AL21" s="158" t="n">
        <v>-301065.75</v>
      </c>
      <c r="AM21" s="158" t="n">
        <v>-301065.75</v>
      </c>
      <c r="AN21" s="158" t="n">
        <v>-301065.75</v>
      </c>
      <c r="AO21" s="158" t="n">
        <v>-301065.75</v>
      </c>
      <c r="AP21" s="158" t="n">
        <v>-307087.065</v>
      </c>
      <c r="AQ21" s="158" t="n">
        <v>-307087.065</v>
      </c>
      <c r="AR21" s="158" t="n">
        <v>-307087.065</v>
      </c>
      <c r="AS21" s="158" t="n">
        <v>-307087.065</v>
      </c>
      <c r="AT21" s="158" t="n">
        <v>-307087.065</v>
      </c>
      <c r="AU21" s="158" t="n">
        <v>-307087.065</v>
      </c>
      <c r="AV21" s="158" t="n">
        <v>-307087.065</v>
      </c>
      <c r="AW21" s="158" t="n">
        <v>-307087.065</v>
      </c>
      <c r="AX21" s="158" t="n">
        <v>-307087.065</v>
      </c>
      <c r="AY21" s="158" t="n">
        <v>-307087.065</v>
      </c>
      <c r="AZ21" s="158" t="n">
        <v>-307087.065</v>
      </c>
      <c r="BA21" s="158" t="n">
        <v>-307087.065</v>
      </c>
      <c r="BB21" s="158" t="n">
        <v>-313228.8063</v>
      </c>
      <c r="BC21" s="158" t="n">
        <v>-313228.8063</v>
      </c>
      <c r="BD21" s="158" t="n">
        <v>-313228.8063</v>
      </c>
      <c r="BE21" s="158" t="n">
        <v>-313228.8063</v>
      </c>
      <c r="BF21" s="158" t="n">
        <v>-313228.8063</v>
      </c>
      <c r="BG21" s="158" t="n">
        <v>-313228.8063</v>
      </c>
      <c r="BH21" s="158" t="n">
        <v>-313228.8063</v>
      </c>
      <c r="BI21" s="158" t="n">
        <v>-313228.8063</v>
      </c>
      <c r="BJ21" s="158" t="n">
        <v>-313228.8063</v>
      </c>
      <c r="BK21" s="158" t="n">
        <v>-313228.8063</v>
      </c>
      <c r="BL21" s="158" t="n">
        <v>-313228.8063</v>
      </c>
      <c r="BM21" s="158" t="n">
        <v>-313228.8063</v>
      </c>
      <c r="BN21" s="158" t="n">
        <v>-319493.382426</v>
      </c>
      <c r="BO21" s="158" t="n">
        <v>-319493.382426</v>
      </c>
      <c r="BP21" s="158" t="n">
        <v>-319493.382426</v>
      </c>
      <c r="BQ21" s="158" t="n">
        <v>-319493.382426</v>
      </c>
      <c r="BR21" s="158" t="n">
        <v>-319493.382426</v>
      </c>
      <c r="BS21" s="158" t="n">
        <v>-319493.382426</v>
      </c>
      <c r="BT21" s="158" t="n">
        <v>-319493.382426</v>
      </c>
      <c r="BU21" s="158" t="n">
        <v>-319493.382426</v>
      </c>
      <c r="BV21" s="158" t="n">
        <v>-319493.382426</v>
      </c>
      <c r="BW21" s="158" t="n">
        <v>-319493.382426</v>
      </c>
      <c r="BX21" s="158" t="n">
        <v>-319493.382426</v>
      </c>
      <c r="BY21" s="158" t="n">
        <v>-319493.382426</v>
      </c>
      <c r="BZ21" s="158" t="n">
        <v>-325883.25007452</v>
      </c>
      <c r="CA21" s="158" t="n">
        <v>-325883.25007452</v>
      </c>
      <c r="CB21" s="158" t="n">
        <v>-325883.25007452</v>
      </c>
      <c r="CC21" s="158" t="n">
        <v>-325883.25007452</v>
      </c>
      <c r="CD21" s="158" t="n">
        <v>-325883.25007452</v>
      </c>
      <c r="CE21" s="158" t="n">
        <v>-325883.25007452</v>
      </c>
      <c r="CF21" s="158" t="n">
        <v>-325883.25007452</v>
      </c>
      <c r="CG21" s="158" t="n">
        <v>-325883.25007452</v>
      </c>
      <c r="CH21" s="158" t="n">
        <v>-325883.25007452</v>
      </c>
      <c r="CI21" s="158" t="n">
        <v>-325883.25007452</v>
      </c>
      <c r="CJ21" s="158" t="n">
        <v>-325883.25007452</v>
      </c>
      <c r="CK21" s="158" t="n">
        <v>-325883.25007452</v>
      </c>
      <c r="CL21" s="158" t="n">
        <v>-332400.91507601</v>
      </c>
      <c r="CM21" s="158" t="n">
        <v>-332400.91507601</v>
      </c>
      <c r="CN21" s="158" t="n">
        <v>-332400.91507601</v>
      </c>
      <c r="CO21" s="158" t="n">
        <v>-332400.91507601</v>
      </c>
      <c r="CP21" s="158" t="n">
        <v>-332400.91507601</v>
      </c>
      <c r="CQ21" s="158" t="n">
        <v>-332400.91507601</v>
      </c>
      <c r="CR21" s="158" t="n">
        <v>-332400.91507601</v>
      </c>
      <c r="CS21" s="158" t="n">
        <v>-332400.91507601</v>
      </c>
      <c r="CT21" s="158" t="n">
        <v>-332400.91507601</v>
      </c>
      <c r="CU21" s="158" t="n">
        <v>-332400.91507601</v>
      </c>
      <c r="CV21" s="158" t="n">
        <v>-332400.91507601</v>
      </c>
      <c r="CW21" s="158" t="n">
        <v>-332400.91507601</v>
      </c>
      <c r="CX21" s="158" t="n">
        <v>-339048.933377531</v>
      </c>
      <c r="CY21" s="158" t="n">
        <v>-339048.933377531</v>
      </c>
      <c r="CZ21" s="158" t="n">
        <v>-339048.933377531</v>
      </c>
      <c r="DA21" s="158" t="n">
        <v>-339048.933377531</v>
      </c>
      <c r="DB21" s="158" t="n">
        <v>-339048.933377531</v>
      </c>
      <c r="DC21" s="158" t="n">
        <v>-339048.933377531</v>
      </c>
      <c r="DD21" s="158" t="n">
        <v>-339048.933377531</v>
      </c>
      <c r="DE21" s="158" t="n">
        <v>-339048.933377531</v>
      </c>
      <c r="DF21" s="158" t="n">
        <v>-339048.933377531</v>
      </c>
    </row>
    <row r="22" customFormat="false" ht="15" hidden="false" customHeight="true" outlineLevel="0" collapsed="false">
      <c r="A22" s="90" t="s">
        <v>65</v>
      </c>
      <c r="C22" s="104" t="n">
        <v>-7450.37</v>
      </c>
      <c r="D22" s="104" t="n">
        <v>-10567.2</v>
      </c>
      <c r="E22" s="104" t="n">
        <v>-17033.3</v>
      </c>
      <c r="F22" s="158" t="n">
        <v>-15327.0833333333</v>
      </c>
      <c r="G22" s="158" t="n">
        <v>-17047.9166666667</v>
      </c>
      <c r="H22" s="158" t="n">
        <v>-18797.9166666667</v>
      </c>
      <c r="I22" s="158" t="n">
        <v>-19556.25</v>
      </c>
      <c r="J22" s="158" t="n">
        <v>-19556.25</v>
      </c>
      <c r="K22" s="158" t="n">
        <v>-19556.25</v>
      </c>
      <c r="L22" s="158" t="n">
        <v>-21014.5833333333</v>
      </c>
      <c r="M22" s="158" t="n">
        <v>-23114.5833333333</v>
      </c>
      <c r="N22" s="158" t="n">
        <v>-23114.5833333333</v>
      </c>
      <c r="O22" s="158" t="n">
        <v>-23114.5833333333</v>
      </c>
      <c r="P22" s="158" t="n">
        <v>-23114.5833333333</v>
      </c>
      <c r="Q22" s="158" t="n">
        <v>-23114.5833333333</v>
      </c>
      <c r="R22" s="158" t="n">
        <v>-24528.875</v>
      </c>
      <c r="S22" s="158" t="n">
        <v>-24528.875</v>
      </c>
      <c r="T22" s="158" t="n">
        <v>-24528.875</v>
      </c>
      <c r="U22" s="158" t="n">
        <v>-24528.875</v>
      </c>
      <c r="V22" s="158" t="n">
        <v>-24528.875</v>
      </c>
      <c r="W22" s="158" t="n">
        <v>-24528.875</v>
      </c>
      <c r="X22" s="158" t="n">
        <v>-24528.875</v>
      </c>
      <c r="Y22" s="158" t="n">
        <v>-24528.875</v>
      </c>
      <c r="Z22" s="158" t="n">
        <v>-24528.875</v>
      </c>
      <c r="AA22" s="158" t="n">
        <v>-24528.875</v>
      </c>
      <c r="AB22" s="158" t="n">
        <v>-24528.875</v>
      </c>
      <c r="AC22" s="158" t="n">
        <v>-24528.875</v>
      </c>
      <c r="AD22" s="158" t="n">
        <v>-25019.4525</v>
      </c>
      <c r="AE22" s="158" t="n">
        <v>-25019.4525</v>
      </c>
      <c r="AF22" s="158" t="n">
        <v>-25019.4525</v>
      </c>
      <c r="AG22" s="158" t="n">
        <v>-25019.4525</v>
      </c>
      <c r="AH22" s="158" t="n">
        <v>-25019.4525</v>
      </c>
      <c r="AI22" s="158" t="n">
        <v>-25019.4525</v>
      </c>
      <c r="AJ22" s="158" t="n">
        <v>-25019.4525</v>
      </c>
      <c r="AK22" s="158" t="n">
        <v>-25019.4525</v>
      </c>
      <c r="AL22" s="158" t="n">
        <v>-25019.4525</v>
      </c>
      <c r="AM22" s="158" t="n">
        <v>-25019.4525</v>
      </c>
      <c r="AN22" s="158" t="n">
        <v>-25019.4525</v>
      </c>
      <c r="AO22" s="158" t="n">
        <v>-25019.4525</v>
      </c>
      <c r="AP22" s="158" t="n">
        <v>-25519.84155</v>
      </c>
      <c r="AQ22" s="158" t="n">
        <v>-25519.84155</v>
      </c>
      <c r="AR22" s="158" t="n">
        <v>-25519.84155</v>
      </c>
      <c r="AS22" s="158" t="n">
        <v>-25519.84155</v>
      </c>
      <c r="AT22" s="158" t="n">
        <v>-25519.84155</v>
      </c>
      <c r="AU22" s="158" t="n">
        <v>-25519.84155</v>
      </c>
      <c r="AV22" s="158" t="n">
        <v>-25519.84155</v>
      </c>
      <c r="AW22" s="158" t="n">
        <v>-25519.84155</v>
      </c>
      <c r="AX22" s="158" t="n">
        <v>-25519.84155</v>
      </c>
      <c r="AY22" s="158" t="n">
        <v>-25519.84155</v>
      </c>
      <c r="AZ22" s="158" t="n">
        <v>-25519.84155</v>
      </c>
      <c r="BA22" s="158" t="n">
        <v>-25519.84155</v>
      </c>
      <c r="BB22" s="158" t="n">
        <v>-26030.238381</v>
      </c>
      <c r="BC22" s="158" t="n">
        <v>-26030.238381</v>
      </c>
      <c r="BD22" s="158" t="n">
        <v>-26030.238381</v>
      </c>
      <c r="BE22" s="158" t="n">
        <v>-26030.238381</v>
      </c>
      <c r="BF22" s="158" t="n">
        <v>-26030.238381</v>
      </c>
      <c r="BG22" s="158" t="n">
        <v>-26030.238381</v>
      </c>
      <c r="BH22" s="158" t="n">
        <v>-26030.238381</v>
      </c>
      <c r="BI22" s="158" t="n">
        <v>-26030.238381</v>
      </c>
      <c r="BJ22" s="158" t="n">
        <v>-26030.238381</v>
      </c>
      <c r="BK22" s="158" t="n">
        <v>-26030.238381</v>
      </c>
      <c r="BL22" s="158" t="n">
        <v>-26030.238381</v>
      </c>
      <c r="BM22" s="158" t="n">
        <v>-26030.238381</v>
      </c>
      <c r="BN22" s="158" t="n">
        <v>-26550.84314862</v>
      </c>
      <c r="BO22" s="158" t="n">
        <v>-26550.84314862</v>
      </c>
      <c r="BP22" s="158" t="n">
        <v>-26550.84314862</v>
      </c>
      <c r="BQ22" s="158" t="n">
        <v>-26550.84314862</v>
      </c>
      <c r="BR22" s="158" t="n">
        <v>-26550.84314862</v>
      </c>
      <c r="BS22" s="158" t="n">
        <v>-26550.84314862</v>
      </c>
      <c r="BT22" s="158" t="n">
        <v>-26550.84314862</v>
      </c>
      <c r="BU22" s="158" t="n">
        <v>-26550.84314862</v>
      </c>
      <c r="BV22" s="158" t="n">
        <v>-26550.84314862</v>
      </c>
      <c r="BW22" s="158" t="n">
        <v>-26550.84314862</v>
      </c>
      <c r="BX22" s="158" t="n">
        <v>-26550.84314862</v>
      </c>
      <c r="BY22" s="158" t="n">
        <v>-26550.84314862</v>
      </c>
      <c r="BZ22" s="158" t="n">
        <v>-27081.8600115924</v>
      </c>
      <c r="CA22" s="158" t="n">
        <v>-27081.8600115924</v>
      </c>
      <c r="CB22" s="158" t="n">
        <v>-27081.8600115924</v>
      </c>
      <c r="CC22" s="158" t="n">
        <v>-27081.8600115924</v>
      </c>
      <c r="CD22" s="158" t="n">
        <v>-27081.8600115924</v>
      </c>
      <c r="CE22" s="158" t="n">
        <v>-27081.8600115924</v>
      </c>
      <c r="CF22" s="158" t="n">
        <v>-27081.8600115924</v>
      </c>
      <c r="CG22" s="158" t="n">
        <v>-27081.8600115924</v>
      </c>
      <c r="CH22" s="158" t="n">
        <v>-27081.8600115924</v>
      </c>
      <c r="CI22" s="158" t="n">
        <v>-27081.8600115924</v>
      </c>
      <c r="CJ22" s="158" t="n">
        <v>-27081.8600115924</v>
      </c>
      <c r="CK22" s="158" t="n">
        <v>-27081.8600115924</v>
      </c>
      <c r="CL22" s="158" t="n">
        <v>-27623.4972118242</v>
      </c>
      <c r="CM22" s="158" t="n">
        <v>-27623.4972118242</v>
      </c>
      <c r="CN22" s="158" t="n">
        <v>-27623.4972118242</v>
      </c>
      <c r="CO22" s="158" t="n">
        <v>-27623.4972118242</v>
      </c>
      <c r="CP22" s="158" t="n">
        <v>-27623.4972118242</v>
      </c>
      <c r="CQ22" s="158" t="n">
        <v>-27623.4972118242</v>
      </c>
      <c r="CR22" s="158" t="n">
        <v>-27623.4972118242</v>
      </c>
      <c r="CS22" s="158" t="n">
        <v>-27623.4972118242</v>
      </c>
      <c r="CT22" s="158" t="n">
        <v>-27623.4972118242</v>
      </c>
      <c r="CU22" s="158" t="n">
        <v>0</v>
      </c>
      <c r="CV22" s="158" t="n">
        <v>0</v>
      </c>
      <c r="CW22" s="158" t="n">
        <v>0</v>
      </c>
      <c r="CX22" s="158" t="n">
        <v>0</v>
      </c>
      <c r="CY22" s="158" t="n">
        <v>0</v>
      </c>
      <c r="CZ22" s="158" t="n">
        <v>0</v>
      </c>
      <c r="DA22" s="158" t="n">
        <v>0</v>
      </c>
      <c r="DB22" s="158" t="n">
        <v>0</v>
      </c>
      <c r="DC22" s="158" t="n">
        <v>0</v>
      </c>
      <c r="DD22" s="158" t="n">
        <v>0</v>
      </c>
      <c r="DE22" s="158" t="n">
        <v>0</v>
      </c>
      <c r="DF22" s="158" t="n">
        <v>0</v>
      </c>
    </row>
    <row r="23" customFormat="false" ht="15" hidden="false" customHeight="true" outlineLevel="0" collapsed="false">
      <c r="A23" s="90" t="s">
        <v>66</v>
      </c>
      <c r="C23" s="104" t="n">
        <v>0</v>
      </c>
      <c r="D23" s="104" t="n">
        <v>0</v>
      </c>
      <c r="E23" s="104" t="n">
        <v>0</v>
      </c>
      <c r="F23" s="158" t="n">
        <v>-103833.333333333</v>
      </c>
      <c r="G23" s="158" t="n">
        <v>-103833.333333333</v>
      </c>
      <c r="H23" s="158" t="n">
        <v>-103833.333333333</v>
      </c>
      <c r="I23" s="158" t="n">
        <v>-103833.333333333</v>
      </c>
      <c r="J23" s="158" t="n">
        <v>-103833.333333333</v>
      </c>
      <c r="K23" s="158" t="n">
        <v>-103833.333333333</v>
      </c>
      <c r="L23" s="158" t="n">
        <v>-103833.333333333</v>
      </c>
      <c r="M23" s="158" t="n">
        <v>-103833.333333333</v>
      </c>
      <c r="N23" s="158" t="n">
        <v>-103833.333333333</v>
      </c>
      <c r="O23" s="158" t="n">
        <v>-103833.333333333</v>
      </c>
      <c r="P23" s="158" t="n">
        <v>-103833.333333333</v>
      </c>
      <c r="Q23" s="158" t="n">
        <v>-103833.333333333</v>
      </c>
      <c r="R23" s="158" t="n">
        <v>-103833.333333333</v>
      </c>
      <c r="S23" s="158" t="n">
        <v>-103833.333333333</v>
      </c>
      <c r="T23" s="158" t="n">
        <v>-103833.333333333</v>
      </c>
      <c r="U23" s="158" t="n">
        <v>-103833.333333333</v>
      </c>
      <c r="V23" s="158" t="n">
        <v>-103833.333333333</v>
      </c>
      <c r="W23" s="158" t="n">
        <v>-103833.333333333</v>
      </c>
      <c r="X23" s="158" t="n">
        <v>-103833.333333333</v>
      </c>
      <c r="Y23" s="158" t="n">
        <v>-103833.333333333</v>
      </c>
      <c r="Z23" s="158" t="n">
        <v>-103833.333333333</v>
      </c>
      <c r="AA23" s="158" t="n">
        <v>-103833.333333333</v>
      </c>
      <c r="AB23" s="158" t="n">
        <v>-103833.333333333</v>
      </c>
      <c r="AC23" s="158" t="n">
        <v>-103833.333333333</v>
      </c>
      <c r="AD23" s="158" t="n">
        <v>-103833.333333333</v>
      </c>
      <c r="AE23" s="158" t="n">
        <v>-103833.333333333</v>
      </c>
      <c r="AF23" s="158" t="n">
        <v>-103833.333333333</v>
      </c>
      <c r="AG23" s="158" t="n">
        <v>-103833.333333333</v>
      </c>
      <c r="AH23" s="158" t="n">
        <v>-103833.333333333</v>
      </c>
      <c r="AI23" s="158" t="n">
        <v>-103833.333333333</v>
      </c>
      <c r="AJ23" s="158" t="n">
        <v>-103833.333333333</v>
      </c>
      <c r="AK23" s="158" t="n">
        <v>-103833.333333333</v>
      </c>
      <c r="AL23" s="158" t="n">
        <v>-103833.333333333</v>
      </c>
      <c r="AM23" s="158" t="n">
        <v>-103833.333333333</v>
      </c>
      <c r="AN23" s="158" t="n">
        <v>-103833.333333333</v>
      </c>
      <c r="AO23" s="158" t="n">
        <v>-103833.333333333</v>
      </c>
      <c r="AP23" s="158" t="n">
        <v>-103833.333333333</v>
      </c>
      <c r="AQ23" s="158" t="n">
        <v>-103833.333333333</v>
      </c>
      <c r="AR23" s="158" t="n">
        <v>-103833.333333333</v>
      </c>
      <c r="AS23" s="158" t="n">
        <v>-103833.333333333</v>
      </c>
      <c r="AT23" s="158" t="n">
        <v>-103833.333333333</v>
      </c>
      <c r="AU23" s="158" t="n">
        <v>-103833.333333333</v>
      </c>
      <c r="AV23" s="158" t="n">
        <v>-103833.333333333</v>
      </c>
      <c r="AW23" s="158" t="n">
        <v>-103833.333333333</v>
      </c>
      <c r="AX23" s="158" t="n">
        <v>-103833.333333333</v>
      </c>
      <c r="AY23" s="158" t="n">
        <v>-103833.333333333</v>
      </c>
      <c r="AZ23" s="158" t="n">
        <v>-103833.333333333</v>
      </c>
      <c r="BA23" s="158" t="n">
        <v>-103833.333333333</v>
      </c>
      <c r="BB23" s="158" t="n">
        <v>-103833.333333333</v>
      </c>
      <c r="BC23" s="158" t="n">
        <v>-103833.333333333</v>
      </c>
      <c r="BD23" s="158" t="n">
        <v>-103833.333333333</v>
      </c>
      <c r="BE23" s="158" t="n">
        <v>-103833.333333333</v>
      </c>
      <c r="BF23" s="158" t="n">
        <v>-103833.333333333</v>
      </c>
      <c r="BG23" s="158" t="n">
        <v>-103833.333333333</v>
      </c>
      <c r="BH23" s="158" t="n">
        <v>-103833.333333333</v>
      </c>
      <c r="BI23" s="158" t="n">
        <v>-103833.333333333</v>
      </c>
      <c r="BJ23" s="158" t="n">
        <v>-103833.333333333</v>
      </c>
      <c r="BK23" s="158" t="n">
        <v>-103833.333333333</v>
      </c>
      <c r="BL23" s="158" t="n">
        <v>-103833.333333333</v>
      </c>
      <c r="BM23" s="158" t="n">
        <v>-103833.333333333</v>
      </c>
      <c r="BN23" s="158" t="n">
        <v>-103833.333333333</v>
      </c>
      <c r="BO23" s="158" t="n">
        <v>-103833.333333333</v>
      </c>
      <c r="BP23" s="158" t="n">
        <v>-103833.333333333</v>
      </c>
      <c r="BQ23" s="158" t="n">
        <v>-103833.333333333</v>
      </c>
      <c r="BR23" s="158" t="n">
        <v>-103833.333333333</v>
      </c>
      <c r="BS23" s="158" t="n">
        <v>-103833.333333333</v>
      </c>
      <c r="BT23" s="158" t="n">
        <v>-103833.333333333</v>
      </c>
      <c r="BU23" s="158" t="n">
        <v>-103833.333333333</v>
      </c>
      <c r="BV23" s="158" t="n">
        <v>-103833.333333333</v>
      </c>
      <c r="BW23" s="158" t="n">
        <v>-103833.333333333</v>
      </c>
      <c r="BX23" s="158" t="n">
        <v>-103833.333333333</v>
      </c>
      <c r="BY23" s="158" t="n">
        <v>-103833.333333333</v>
      </c>
      <c r="BZ23" s="158" t="n">
        <v>-103833.333333333</v>
      </c>
      <c r="CA23" s="158" t="n">
        <v>-103833.333333333</v>
      </c>
      <c r="CB23" s="158" t="n">
        <v>-103833.333333333</v>
      </c>
      <c r="CC23" s="158" t="n">
        <v>-103833.333333333</v>
      </c>
      <c r="CD23" s="158" t="n">
        <v>-103833.333333333</v>
      </c>
      <c r="CE23" s="158" t="n">
        <v>-103833.333333333</v>
      </c>
      <c r="CF23" s="158" t="n">
        <v>-103833.333333333</v>
      </c>
      <c r="CG23" s="158" t="n">
        <v>-103833.333333333</v>
      </c>
      <c r="CH23" s="158" t="n">
        <v>-103833.333333333</v>
      </c>
      <c r="CI23" s="158" t="n">
        <v>-103833.333333333</v>
      </c>
      <c r="CJ23" s="158" t="n">
        <v>-103833.333333333</v>
      </c>
      <c r="CK23" s="158" t="n">
        <v>-103833.333333333</v>
      </c>
      <c r="CL23" s="158" t="n">
        <v>-103833.333333333</v>
      </c>
      <c r="CM23" s="158" t="n">
        <v>-103833.333333333</v>
      </c>
      <c r="CN23" s="158" t="n">
        <v>-103833.333333333</v>
      </c>
      <c r="CO23" s="158" t="n">
        <v>-103833.333333333</v>
      </c>
      <c r="CP23" s="158" t="n">
        <v>-103833.333333333</v>
      </c>
      <c r="CQ23" s="158" t="n">
        <v>-103833.333333333</v>
      </c>
      <c r="CR23" s="158" t="n">
        <v>-103833.333333333</v>
      </c>
      <c r="CS23" s="158" t="n">
        <v>-103833.333333333</v>
      </c>
      <c r="CT23" s="158" t="n">
        <v>-103833.333333333</v>
      </c>
      <c r="CU23" s="158" t="n">
        <v>-103833.333333333</v>
      </c>
      <c r="CV23" s="158" t="n">
        <v>-103833.333333333</v>
      </c>
      <c r="CW23" s="158" t="n">
        <v>-103833.333333333</v>
      </c>
      <c r="CX23" s="158" t="n">
        <v>-103833.333333333</v>
      </c>
      <c r="CY23" s="158" t="n">
        <v>-103833.333333333</v>
      </c>
      <c r="CZ23" s="158" t="n">
        <v>-103833.333333333</v>
      </c>
      <c r="DA23" s="158" t="n">
        <v>-103833.333333333</v>
      </c>
      <c r="DB23" s="158" t="n">
        <v>-103833.333333333</v>
      </c>
      <c r="DC23" s="158" t="n">
        <v>-103833.333333333</v>
      </c>
      <c r="DD23" s="158" t="n">
        <v>-103833.333333333</v>
      </c>
      <c r="DE23" s="158" t="n">
        <v>-103833.333333333</v>
      </c>
      <c r="DF23" s="158" t="n">
        <v>-103833.333333333</v>
      </c>
    </row>
    <row r="24" customFormat="false" ht="15" hidden="false" customHeight="true" outlineLevel="0" collapsed="false">
      <c r="A24" s="90" t="s">
        <v>67</v>
      </c>
      <c r="C24" s="104" t="n">
        <v>-9482.97</v>
      </c>
      <c r="D24" s="104" t="n">
        <v>-10343.29</v>
      </c>
      <c r="E24" s="104" t="n">
        <v>-3729.48</v>
      </c>
      <c r="F24" s="158" t="n">
        <v>-10947.9166666667</v>
      </c>
      <c r="G24" s="158" t="n">
        <v>-12177.0833333333</v>
      </c>
      <c r="H24" s="158" t="n">
        <v>-13427.0833333333</v>
      </c>
      <c r="I24" s="158" t="n">
        <v>-13968.75</v>
      </c>
      <c r="J24" s="158" t="n">
        <v>-13968.75</v>
      </c>
      <c r="K24" s="158" t="n">
        <v>-13968.75</v>
      </c>
      <c r="L24" s="158" t="n">
        <v>-15010.4166666667</v>
      </c>
      <c r="M24" s="158" t="n">
        <v>-16510.4166666667</v>
      </c>
      <c r="N24" s="158" t="n">
        <v>-16510.4166666667</v>
      </c>
      <c r="O24" s="158" t="n">
        <v>-16510.4166666667</v>
      </c>
      <c r="P24" s="158" t="n">
        <v>-16510.4166666667</v>
      </c>
      <c r="Q24" s="158" t="n">
        <v>-16510.4166666667</v>
      </c>
      <c r="R24" s="158" t="n">
        <v>-17520.625</v>
      </c>
      <c r="S24" s="158" t="n">
        <v>-17520.625</v>
      </c>
      <c r="T24" s="158" t="n">
        <v>-17520.625</v>
      </c>
      <c r="U24" s="158" t="n">
        <v>-17520.625</v>
      </c>
      <c r="V24" s="158" t="n">
        <v>-17520.625</v>
      </c>
      <c r="W24" s="158" t="n">
        <v>-17520.625</v>
      </c>
      <c r="X24" s="158" t="n">
        <v>-17520.625</v>
      </c>
      <c r="Y24" s="158" t="n">
        <v>-17520.625</v>
      </c>
      <c r="Z24" s="158" t="n">
        <v>-17520.625</v>
      </c>
      <c r="AA24" s="158" t="n">
        <v>-17520.625</v>
      </c>
      <c r="AB24" s="158" t="n">
        <v>-17520.625</v>
      </c>
      <c r="AC24" s="158" t="n">
        <v>-17520.625</v>
      </c>
      <c r="AD24" s="158" t="n">
        <v>-17871.0375</v>
      </c>
      <c r="AE24" s="158" t="n">
        <v>-17871.0375</v>
      </c>
      <c r="AF24" s="158" t="n">
        <v>-17871.0375</v>
      </c>
      <c r="AG24" s="158" t="n">
        <v>-17871.0375</v>
      </c>
      <c r="AH24" s="158" t="n">
        <v>-17871.0375</v>
      </c>
      <c r="AI24" s="158" t="n">
        <v>-17871.0375</v>
      </c>
      <c r="AJ24" s="158" t="n">
        <v>-17871.0375</v>
      </c>
      <c r="AK24" s="158" t="n">
        <v>-17871.0375</v>
      </c>
      <c r="AL24" s="158" t="n">
        <v>-17871.0375</v>
      </c>
      <c r="AM24" s="158" t="n">
        <v>-17871.0375</v>
      </c>
      <c r="AN24" s="158" t="n">
        <v>-17871.0375</v>
      </c>
      <c r="AO24" s="158" t="n">
        <v>-17871.0375</v>
      </c>
      <c r="AP24" s="158" t="n">
        <v>-18228.45825</v>
      </c>
      <c r="AQ24" s="158" t="n">
        <v>-18228.45825</v>
      </c>
      <c r="AR24" s="158" t="n">
        <v>-18228.45825</v>
      </c>
      <c r="AS24" s="158" t="n">
        <v>-18228.45825</v>
      </c>
      <c r="AT24" s="158" t="n">
        <v>-18228.45825</v>
      </c>
      <c r="AU24" s="158" t="n">
        <v>-18228.45825</v>
      </c>
      <c r="AV24" s="158" t="n">
        <v>-18228.45825</v>
      </c>
      <c r="AW24" s="158" t="n">
        <v>-18228.45825</v>
      </c>
      <c r="AX24" s="158" t="n">
        <v>-18228.45825</v>
      </c>
      <c r="AY24" s="158" t="n">
        <v>-18228.45825</v>
      </c>
      <c r="AZ24" s="158" t="n">
        <v>-18228.45825</v>
      </c>
      <c r="BA24" s="158" t="n">
        <v>-18228.45825</v>
      </c>
      <c r="BB24" s="158" t="n">
        <v>-18593.027415</v>
      </c>
      <c r="BC24" s="158" t="n">
        <v>-18593.027415</v>
      </c>
      <c r="BD24" s="158" t="n">
        <v>-18593.027415</v>
      </c>
      <c r="BE24" s="158" t="n">
        <v>-18593.027415</v>
      </c>
      <c r="BF24" s="158" t="n">
        <v>-18593.027415</v>
      </c>
      <c r="BG24" s="158" t="n">
        <v>-18593.027415</v>
      </c>
      <c r="BH24" s="158" t="n">
        <v>-18593.027415</v>
      </c>
      <c r="BI24" s="158" t="n">
        <v>-18593.027415</v>
      </c>
      <c r="BJ24" s="158" t="n">
        <v>-18593.027415</v>
      </c>
      <c r="BK24" s="158" t="n">
        <v>-18593.027415</v>
      </c>
      <c r="BL24" s="158" t="n">
        <v>-18593.027415</v>
      </c>
      <c r="BM24" s="158" t="n">
        <v>-18593.027415</v>
      </c>
      <c r="BN24" s="158" t="n">
        <v>-18964.8879633</v>
      </c>
      <c r="BO24" s="158" t="n">
        <v>-18964.8879633</v>
      </c>
      <c r="BP24" s="158" t="n">
        <v>-18964.8879633</v>
      </c>
      <c r="BQ24" s="158" t="n">
        <v>-18964.8879633</v>
      </c>
      <c r="BR24" s="158" t="n">
        <v>-18964.8879633</v>
      </c>
      <c r="BS24" s="158" t="n">
        <v>-18964.8879633</v>
      </c>
      <c r="BT24" s="158" t="n">
        <v>-18964.8879633</v>
      </c>
      <c r="BU24" s="158" t="n">
        <v>-18964.8879633</v>
      </c>
      <c r="BV24" s="158" t="n">
        <v>-18964.8879633</v>
      </c>
      <c r="BW24" s="158" t="n">
        <v>-18964.8879633</v>
      </c>
      <c r="BX24" s="158" t="n">
        <v>-18964.8879633</v>
      </c>
      <c r="BY24" s="158" t="n">
        <v>-18964.8879633</v>
      </c>
      <c r="BZ24" s="158" t="n">
        <v>-19344.185722566</v>
      </c>
      <c r="CA24" s="158" t="n">
        <v>-19344.185722566</v>
      </c>
      <c r="CB24" s="158" t="n">
        <v>-19344.185722566</v>
      </c>
      <c r="CC24" s="158" t="n">
        <v>-19344.185722566</v>
      </c>
      <c r="CD24" s="158" t="n">
        <v>-19344.185722566</v>
      </c>
      <c r="CE24" s="158" t="n">
        <v>-19344.185722566</v>
      </c>
      <c r="CF24" s="158" t="n">
        <v>-19344.185722566</v>
      </c>
      <c r="CG24" s="158" t="n">
        <v>-19344.185722566</v>
      </c>
      <c r="CH24" s="158" t="n">
        <v>-19344.185722566</v>
      </c>
      <c r="CI24" s="158" t="n">
        <v>-19344.185722566</v>
      </c>
      <c r="CJ24" s="158" t="n">
        <v>-19344.185722566</v>
      </c>
      <c r="CK24" s="158" t="n">
        <v>-19344.185722566</v>
      </c>
      <c r="CL24" s="158" t="n">
        <v>-19731.0694370173</v>
      </c>
      <c r="CM24" s="158" t="n">
        <v>-19731.0694370173</v>
      </c>
      <c r="CN24" s="158" t="n">
        <v>-19731.0694370173</v>
      </c>
      <c r="CO24" s="158" t="n">
        <v>-19731.0694370173</v>
      </c>
      <c r="CP24" s="158" t="n">
        <v>-19731.0694370173</v>
      </c>
      <c r="CQ24" s="158" t="n">
        <v>-19731.0694370173</v>
      </c>
      <c r="CR24" s="158" t="n">
        <v>-19731.0694370173</v>
      </c>
      <c r="CS24" s="158" t="n">
        <v>-19731.0694370173</v>
      </c>
      <c r="CT24" s="158" t="n">
        <v>-19731.0694370173</v>
      </c>
      <c r="CU24" s="158" t="n">
        <v>0</v>
      </c>
      <c r="CV24" s="158" t="n">
        <v>0</v>
      </c>
      <c r="CW24" s="158" t="n">
        <v>0</v>
      </c>
      <c r="CX24" s="158" t="n">
        <v>0</v>
      </c>
      <c r="CY24" s="158" t="n">
        <v>0</v>
      </c>
      <c r="CZ24" s="158" t="n">
        <v>0</v>
      </c>
      <c r="DA24" s="158" t="n">
        <v>0</v>
      </c>
      <c r="DB24" s="158" t="n">
        <v>0</v>
      </c>
      <c r="DC24" s="158" t="n">
        <v>0</v>
      </c>
      <c r="DD24" s="158" t="n">
        <v>0</v>
      </c>
      <c r="DE24" s="158" t="n">
        <v>0</v>
      </c>
      <c r="DF24" s="158" t="n">
        <v>0</v>
      </c>
    </row>
    <row r="25" customFormat="false" ht="15" hidden="false" customHeight="true" outlineLevel="0" collapsed="false">
      <c r="A25" s="90" t="s">
        <v>68</v>
      </c>
      <c r="C25" s="104" t="n">
        <v>-2542.47</v>
      </c>
      <c r="D25" s="104" t="n">
        <v>-1618.75</v>
      </c>
      <c r="E25" s="104" t="n">
        <v>3406.77</v>
      </c>
      <c r="F25" s="158" t="n">
        <v>-4379.16666666667</v>
      </c>
      <c r="G25" s="158" t="n">
        <v>-4870.83333333333</v>
      </c>
      <c r="H25" s="158" t="n">
        <v>-5370.83333333333</v>
      </c>
      <c r="I25" s="158" t="n">
        <v>-5587.5</v>
      </c>
      <c r="J25" s="158" t="n">
        <v>-5587.5</v>
      </c>
      <c r="K25" s="158" t="n">
        <v>-5587.5</v>
      </c>
      <c r="L25" s="158" t="n">
        <v>-6004.16666666667</v>
      </c>
      <c r="M25" s="158" t="n">
        <v>-6604.16666666666</v>
      </c>
      <c r="N25" s="158" t="n">
        <v>-6604.16666666666</v>
      </c>
      <c r="O25" s="158" t="n">
        <v>-6604.16666666666</v>
      </c>
      <c r="P25" s="158" t="n">
        <v>-6604.16666666666</v>
      </c>
      <c r="Q25" s="158" t="n">
        <v>-6604.16666666666</v>
      </c>
      <c r="R25" s="158" t="n">
        <v>-7008.25</v>
      </c>
      <c r="S25" s="158" t="n">
        <v>-7008.25</v>
      </c>
      <c r="T25" s="158" t="n">
        <v>-7008.25</v>
      </c>
      <c r="U25" s="158" t="n">
        <v>-7008.25</v>
      </c>
      <c r="V25" s="158" t="n">
        <v>-7008.25</v>
      </c>
      <c r="W25" s="158" t="n">
        <v>-7008.25</v>
      </c>
      <c r="X25" s="158" t="n">
        <v>-7008.25</v>
      </c>
      <c r="Y25" s="158" t="n">
        <v>-7008.25</v>
      </c>
      <c r="Z25" s="158" t="n">
        <v>-7008.25</v>
      </c>
      <c r="AA25" s="158" t="n">
        <v>-7008.25</v>
      </c>
      <c r="AB25" s="158" t="n">
        <v>-7008.25</v>
      </c>
      <c r="AC25" s="158" t="n">
        <v>-7008.25</v>
      </c>
      <c r="AD25" s="158" t="n">
        <v>-7148.415</v>
      </c>
      <c r="AE25" s="158" t="n">
        <v>-7148.415</v>
      </c>
      <c r="AF25" s="158" t="n">
        <v>-7148.415</v>
      </c>
      <c r="AG25" s="158" t="n">
        <v>-7148.415</v>
      </c>
      <c r="AH25" s="158" t="n">
        <v>-7148.415</v>
      </c>
      <c r="AI25" s="158" t="n">
        <v>-7148.415</v>
      </c>
      <c r="AJ25" s="158" t="n">
        <v>-7148.415</v>
      </c>
      <c r="AK25" s="158" t="n">
        <v>-7148.415</v>
      </c>
      <c r="AL25" s="158" t="n">
        <v>-7148.415</v>
      </c>
      <c r="AM25" s="158" t="n">
        <v>-7148.415</v>
      </c>
      <c r="AN25" s="158" t="n">
        <v>-7148.415</v>
      </c>
      <c r="AO25" s="158" t="n">
        <v>-7148.415</v>
      </c>
      <c r="AP25" s="158" t="n">
        <v>-7291.3833</v>
      </c>
      <c r="AQ25" s="158" t="n">
        <v>-7291.3833</v>
      </c>
      <c r="AR25" s="158" t="n">
        <v>-7291.3833</v>
      </c>
      <c r="AS25" s="158" t="n">
        <v>-7291.3833</v>
      </c>
      <c r="AT25" s="158" t="n">
        <v>-7291.3833</v>
      </c>
      <c r="AU25" s="158" t="n">
        <v>-7291.3833</v>
      </c>
      <c r="AV25" s="158" t="n">
        <v>-7291.3833</v>
      </c>
      <c r="AW25" s="158" t="n">
        <v>-7291.3833</v>
      </c>
      <c r="AX25" s="158" t="n">
        <v>-7291.3833</v>
      </c>
      <c r="AY25" s="158" t="n">
        <v>-7291.3833</v>
      </c>
      <c r="AZ25" s="158" t="n">
        <v>-7291.3833</v>
      </c>
      <c r="BA25" s="158" t="n">
        <v>-7291.3833</v>
      </c>
      <c r="BB25" s="158" t="n">
        <v>-7437.210966</v>
      </c>
      <c r="BC25" s="158" t="n">
        <v>-7437.210966</v>
      </c>
      <c r="BD25" s="158" t="n">
        <v>-7437.210966</v>
      </c>
      <c r="BE25" s="158" t="n">
        <v>-7437.210966</v>
      </c>
      <c r="BF25" s="158" t="n">
        <v>-7437.210966</v>
      </c>
      <c r="BG25" s="158" t="n">
        <v>-7437.210966</v>
      </c>
      <c r="BH25" s="158" t="n">
        <v>-7437.210966</v>
      </c>
      <c r="BI25" s="158" t="n">
        <v>-7437.210966</v>
      </c>
      <c r="BJ25" s="158" t="n">
        <v>-7437.210966</v>
      </c>
      <c r="BK25" s="158" t="n">
        <v>-7437.210966</v>
      </c>
      <c r="BL25" s="158" t="n">
        <v>-7437.210966</v>
      </c>
      <c r="BM25" s="158" t="n">
        <v>-7437.210966</v>
      </c>
      <c r="BN25" s="158" t="n">
        <v>-7585.95518532</v>
      </c>
      <c r="BO25" s="158" t="n">
        <v>-7585.95518532</v>
      </c>
      <c r="BP25" s="158" t="n">
        <v>-7585.95518532</v>
      </c>
      <c r="BQ25" s="158" t="n">
        <v>-7585.95518532</v>
      </c>
      <c r="BR25" s="158" t="n">
        <v>-7585.95518532</v>
      </c>
      <c r="BS25" s="158" t="n">
        <v>-7585.95518532</v>
      </c>
      <c r="BT25" s="158" t="n">
        <v>-7585.95518532</v>
      </c>
      <c r="BU25" s="158" t="n">
        <v>-7585.95518532</v>
      </c>
      <c r="BV25" s="158" t="n">
        <v>-7585.95518532</v>
      </c>
      <c r="BW25" s="158" t="n">
        <v>-7585.95518532</v>
      </c>
      <c r="BX25" s="158" t="n">
        <v>-7585.95518532</v>
      </c>
      <c r="BY25" s="158" t="n">
        <v>-7585.95518532</v>
      </c>
      <c r="BZ25" s="158" t="n">
        <v>-7737.6742890264</v>
      </c>
      <c r="CA25" s="158" t="n">
        <v>-7737.6742890264</v>
      </c>
      <c r="CB25" s="158" t="n">
        <v>-7737.6742890264</v>
      </c>
      <c r="CC25" s="158" t="n">
        <v>-7737.6742890264</v>
      </c>
      <c r="CD25" s="158" t="n">
        <v>-7737.6742890264</v>
      </c>
      <c r="CE25" s="158" t="n">
        <v>-7737.6742890264</v>
      </c>
      <c r="CF25" s="158" t="n">
        <v>-7737.6742890264</v>
      </c>
      <c r="CG25" s="158" t="n">
        <v>-7737.6742890264</v>
      </c>
      <c r="CH25" s="158" t="n">
        <v>-7737.6742890264</v>
      </c>
      <c r="CI25" s="158" t="n">
        <v>-7737.6742890264</v>
      </c>
      <c r="CJ25" s="158" t="n">
        <v>-7737.6742890264</v>
      </c>
      <c r="CK25" s="158" t="n">
        <v>-7737.6742890264</v>
      </c>
      <c r="CL25" s="158" t="n">
        <v>-7892.42777480693</v>
      </c>
      <c r="CM25" s="158" t="n">
        <v>-7892.42777480693</v>
      </c>
      <c r="CN25" s="158" t="n">
        <v>-7892.42777480693</v>
      </c>
      <c r="CO25" s="158" t="n">
        <v>-7892.42777480693</v>
      </c>
      <c r="CP25" s="158" t="n">
        <v>-7892.42777480693</v>
      </c>
      <c r="CQ25" s="158" t="n">
        <v>-7892.42777480693</v>
      </c>
      <c r="CR25" s="158" t="n">
        <v>-7892.42777480693</v>
      </c>
      <c r="CS25" s="158" t="n">
        <v>-7892.42777480693</v>
      </c>
      <c r="CT25" s="158" t="n">
        <v>-7892.42777480693</v>
      </c>
      <c r="CU25" s="158" t="n">
        <v>0</v>
      </c>
      <c r="CV25" s="158" t="n">
        <v>0</v>
      </c>
      <c r="CW25" s="158" t="n">
        <v>0</v>
      </c>
      <c r="CX25" s="158" t="n">
        <v>0</v>
      </c>
      <c r="CY25" s="158" t="n">
        <v>0</v>
      </c>
      <c r="CZ25" s="158" t="n">
        <v>0</v>
      </c>
      <c r="DA25" s="158" t="n">
        <v>0</v>
      </c>
      <c r="DB25" s="158" t="n">
        <v>0</v>
      </c>
      <c r="DC25" s="158" t="n">
        <v>0</v>
      </c>
      <c r="DD25" s="158" t="n">
        <v>0</v>
      </c>
      <c r="DE25" s="158" t="n">
        <v>0</v>
      </c>
      <c r="DF25" s="158" t="n">
        <v>0</v>
      </c>
    </row>
    <row r="26" customFormat="false" ht="15" hidden="false" customHeight="true" outlineLevel="0" collapsed="false">
      <c r="A26" s="90" t="s">
        <v>69</v>
      </c>
      <c r="C26" s="104" t="n">
        <v>-195</v>
      </c>
      <c r="D26" s="104" t="n">
        <v>-200</v>
      </c>
      <c r="E26" s="104" t="n">
        <v>0</v>
      </c>
      <c r="F26" s="158" t="n">
        <v>-1094.79166666667</v>
      </c>
      <c r="G26" s="158" t="n">
        <v>-1217.70833333333</v>
      </c>
      <c r="H26" s="158" t="n">
        <v>-1342.70833333333</v>
      </c>
      <c r="I26" s="158" t="n">
        <v>-1396.875</v>
      </c>
      <c r="J26" s="158" t="n">
        <v>-1396.875</v>
      </c>
      <c r="K26" s="158" t="n">
        <v>-1396.875</v>
      </c>
      <c r="L26" s="158" t="n">
        <v>-1501.04166666667</v>
      </c>
      <c r="M26" s="158" t="n">
        <v>-1651.04166666667</v>
      </c>
      <c r="N26" s="158" t="n">
        <v>-1651.04166666667</v>
      </c>
      <c r="O26" s="158" t="n">
        <v>-1651.04166666667</v>
      </c>
      <c r="P26" s="158" t="n">
        <v>-1651.04166666667</v>
      </c>
      <c r="Q26" s="158" t="n">
        <v>-1651.04166666667</v>
      </c>
      <c r="R26" s="158" t="n">
        <v>-1752.0625</v>
      </c>
      <c r="S26" s="158" t="n">
        <v>-1752.0625</v>
      </c>
      <c r="T26" s="158" t="n">
        <v>-1752.0625</v>
      </c>
      <c r="U26" s="158" t="n">
        <v>-1752.0625</v>
      </c>
      <c r="V26" s="158" t="n">
        <v>-1752.0625</v>
      </c>
      <c r="W26" s="158" t="n">
        <v>-1752.0625</v>
      </c>
      <c r="X26" s="158" t="n">
        <v>-1752.0625</v>
      </c>
      <c r="Y26" s="158" t="n">
        <v>-1752.0625</v>
      </c>
      <c r="Z26" s="158" t="n">
        <v>-1752.0625</v>
      </c>
      <c r="AA26" s="158" t="n">
        <v>-1752.0625</v>
      </c>
      <c r="AB26" s="158" t="n">
        <v>-1752.0625</v>
      </c>
      <c r="AC26" s="158" t="n">
        <v>-1752.0625</v>
      </c>
      <c r="AD26" s="158" t="n">
        <v>-1787.10375</v>
      </c>
      <c r="AE26" s="158" t="n">
        <v>-1787.10375</v>
      </c>
      <c r="AF26" s="158" t="n">
        <v>-1787.10375</v>
      </c>
      <c r="AG26" s="158" t="n">
        <v>-1787.10375</v>
      </c>
      <c r="AH26" s="158" t="n">
        <v>-1787.10375</v>
      </c>
      <c r="AI26" s="158" t="n">
        <v>-1787.10375</v>
      </c>
      <c r="AJ26" s="158" t="n">
        <v>-1787.10375</v>
      </c>
      <c r="AK26" s="158" t="n">
        <v>-1787.10375</v>
      </c>
      <c r="AL26" s="158" t="n">
        <v>-1787.10375</v>
      </c>
      <c r="AM26" s="158" t="n">
        <v>-1787.10375</v>
      </c>
      <c r="AN26" s="158" t="n">
        <v>-1787.10375</v>
      </c>
      <c r="AO26" s="158" t="n">
        <v>-1787.10375</v>
      </c>
      <c r="AP26" s="158" t="n">
        <v>-1822.845825</v>
      </c>
      <c r="AQ26" s="158" t="n">
        <v>-1822.845825</v>
      </c>
      <c r="AR26" s="158" t="n">
        <v>-1822.845825</v>
      </c>
      <c r="AS26" s="158" t="n">
        <v>-1822.845825</v>
      </c>
      <c r="AT26" s="158" t="n">
        <v>-1822.845825</v>
      </c>
      <c r="AU26" s="158" t="n">
        <v>-1822.845825</v>
      </c>
      <c r="AV26" s="158" t="n">
        <v>-1822.845825</v>
      </c>
      <c r="AW26" s="158" t="n">
        <v>-1822.845825</v>
      </c>
      <c r="AX26" s="158" t="n">
        <v>-1822.845825</v>
      </c>
      <c r="AY26" s="158" t="n">
        <v>-1822.845825</v>
      </c>
      <c r="AZ26" s="158" t="n">
        <v>-1822.845825</v>
      </c>
      <c r="BA26" s="158" t="n">
        <v>-1822.845825</v>
      </c>
      <c r="BB26" s="158" t="n">
        <v>-1859.3027415</v>
      </c>
      <c r="BC26" s="158" t="n">
        <v>-1859.3027415</v>
      </c>
      <c r="BD26" s="158" t="n">
        <v>-1859.3027415</v>
      </c>
      <c r="BE26" s="158" t="n">
        <v>-1859.3027415</v>
      </c>
      <c r="BF26" s="158" t="n">
        <v>-1859.3027415</v>
      </c>
      <c r="BG26" s="158" t="n">
        <v>-1859.3027415</v>
      </c>
      <c r="BH26" s="158" t="n">
        <v>-1859.3027415</v>
      </c>
      <c r="BI26" s="158" t="n">
        <v>-1859.3027415</v>
      </c>
      <c r="BJ26" s="158" t="n">
        <v>-1859.3027415</v>
      </c>
      <c r="BK26" s="158" t="n">
        <v>-1859.3027415</v>
      </c>
      <c r="BL26" s="158" t="n">
        <v>-1859.3027415</v>
      </c>
      <c r="BM26" s="158" t="n">
        <v>-1859.3027415</v>
      </c>
      <c r="BN26" s="158" t="n">
        <v>-1896.48879633</v>
      </c>
      <c r="BO26" s="158" t="n">
        <v>-1896.48879633</v>
      </c>
      <c r="BP26" s="158" t="n">
        <v>-1896.48879633</v>
      </c>
      <c r="BQ26" s="158" t="n">
        <v>-1896.48879633</v>
      </c>
      <c r="BR26" s="158" t="n">
        <v>-1896.48879633</v>
      </c>
      <c r="BS26" s="158" t="n">
        <v>-1896.48879633</v>
      </c>
      <c r="BT26" s="158" t="n">
        <v>-1896.48879633</v>
      </c>
      <c r="BU26" s="158" t="n">
        <v>-1896.48879633</v>
      </c>
      <c r="BV26" s="158" t="n">
        <v>-1896.48879633</v>
      </c>
      <c r="BW26" s="158" t="n">
        <v>-1896.48879633</v>
      </c>
      <c r="BX26" s="158" t="n">
        <v>-1896.48879633</v>
      </c>
      <c r="BY26" s="158" t="n">
        <v>-1896.48879633</v>
      </c>
      <c r="BZ26" s="158" t="n">
        <v>-1934.4185722566</v>
      </c>
      <c r="CA26" s="158" t="n">
        <v>-1934.4185722566</v>
      </c>
      <c r="CB26" s="158" t="n">
        <v>-1934.4185722566</v>
      </c>
      <c r="CC26" s="158" t="n">
        <v>-1934.4185722566</v>
      </c>
      <c r="CD26" s="158" t="n">
        <v>-1934.4185722566</v>
      </c>
      <c r="CE26" s="158" t="n">
        <v>-1934.4185722566</v>
      </c>
      <c r="CF26" s="158" t="n">
        <v>-1934.4185722566</v>
      </c>
      <c r="CG26" s="158" t="n">
        <v>-1934.4185722566</v>
      </c>
      <c r="CH26" s="158" t="n">
        <v>-1934.4185722566</v>
      </c>
      <c r="CI26" s="158" t="n">
        <v>-1934.4185722566</v>
      </c>
      <c r="CJ26" s="158" t="n">
        <v>-1934.4185722566</v>
      </c>
      <c r="CK26" s="158" t="n">
        <v>-1934.4185722566</v>
      </c>
      <c r="CL26" s="158" t="n">
        <v>-1973.10694370173</v>
      </c>
      <c r="CM26" s="158" t="n">
        <v>-1973.10694370173</v>
      </c>
      <c r="CN26" s="158" t="n">
        <v>-1973.10694370173</v>
      </c>
      <c r="CO26" s="158" t="n">
        <v>-1973.10694370173</v>
      </c>
      <c r="CP26" s="158" t="n">
        <v>-1973.10694370173</v>
      </c>
      <c r="CQ26" s="158" t="n">
        <v>-1973.10694370173</v>
      </c>
      <c r="CR26" s="158" t="n">
        <v>-1973.10694370173</v>
      </c>
      <c r="CS26" s="158" t="n">
        <v>-1973.10694370173</v>
      </c>
      <c r="CT26" s="158" t="n">
        <v>-1973.10694370173</v>
      </c>
      <c r="CU26" s="158" t="n">
        <v>0</v>
      </c>
      <c r="CV26" s="158" t="n">
        <v>0</v>
      </c>
      <c r="CW26" s="158" t="n">
        <v>0</v>
      </c>
      <c r="CX26" s="158" t="n">
        <v>0</v>
      </c>
      <c r="CY26" s="158" t="n">
        <v>0</v>
      </c>
      <c r="CZ26" s="158" t="n">
        <v>0</v>
      </c>
      <c r="DA26" s="158" t="n">
        <v>0</v>
      </c>
      <c r="DB26" s="158" t="n">
        <v>0</v>
      </c>
      <c r="DC26" s="158" t="n">
        <v>0</v>
      </c>
      <c r="DD26" s="158" t="n">
        <v>0</v>
      </c>
      <c r="DE26" s="158" t="n">
        <v>0</v>
      </c>
      <c r="DF26" s="158" t="n">
        <v>0</v>
      </c>
    </row>
    <row r="27" customFormat="false" ht="15" hidden="false" customHeight="true" outlineLevel="0" collapsed="false">
      <c r="A27" s="90" t="s">
        <v>70</v>
      </c>
      <c r="C27" s="104" t="n">
        <v>-33002.28</v>
      </c>
      <c r="D27" s="104" t="n">
        <v>-29166.66</v>
      </c>
      <c r="E27" s="104" t="n">
        <v>-41666.66</v>
      </c>
      <c r="F27" s="158" t="n">
        <v>-29166.66</v>
      </c>
      <c r="G27" s="158" t="n">
        <v>-29166.66</v>
      </c>
      <c r="H27" s="158" t="n">
        <v>-29166.66</v>
      </c>
      <c r="I27" s="158" t="n">
        <v>-29166.66</v>
      </c>
      <c r="J27" s="158" t="n">
        <v>-29166.66</v>
      </c>
      <c r="K27" s="158" t="n">
        <v>-29166.66</v>
      </c>
      <c r="L27" s="158" t="n">
        <v>-29166.66</v>
      </c>
      <c r="M27" s="158" t="n">
        <v>-29166.66</v>
      </c>
      <c r="N27" s="158" t="n">
        <v>-29166.66</v>
      </c>
      <c r="O27" s="158" t="n">
        <v>-29166.66</v>
      </c>
      <c r="P27" s="158" t="n">
        <v>-29166.66</v>
      </c>
      <c r="Q27" s="158" t="n">
        <v>-29166.66</v>
      </c>
      <c r="R27" s="158" t="n">
        <v>-29749.9932</v>
      </c>
      <c r="S27" s="158" t="n">
        <v>-29749.9932</v>
      </c>
      <c r="T27" s="158" t="n">
        <v>-29749.9932</v>
      </c>
      <c r="U27" s="158" t="n">
        <v>-29749.9932</v>
      </c>
      <c r="V27" s="158" t="n">
        <v>-29749.9932</v>
      </c>
      <c r="W27" s="158" t="n">
        <v>-29749.9932</v>
      </c>
      <c r="X27" s="158" t="n">
        <v>-29749.9932</v>
      </c>
      <c r="Y27" s="158" t="n">
        <v>-29749.9932</v>
      </c>
      <c r="Z27" s="158" t="n">
        <v>-29749.9932</v>
      </c>
      <c r="AA27" s="158" t="n">
        <v>-29749.9932</v>
      </c>
      <c r="AB27" s="158" t="n">
        <v>-29749.9932</v>
      </c>
      <c r="AC27" s="158" t="n">
        <v>-29749.9932</v>
      </c>
      <c r="AD27" s="158" t="n">
        <v>-30344.993064</v>
      </c>
      <c r="AE27" s="158" t="n">
        <v>-30344.993064</v>
      </c>
      <c r="AF27" s="158" t="n">
        <v>-30344.993064</v>
      </c>
      <c r="AG27" s="158" t="n">
        <v>-30344.993064</v>
      </c>
      <c r="AH27" s="158" t="n">
        <v>-30344.993064</v>
      </c>
      <c r="AI27" s="158" t="n">
        <v>-30344.993064</v>
      </c>
      <c r="AJ27" s="158" t="n">
        <v>-30344.993064</v>
      </c>
      <c r="AK27" s="158" t="n">
        <v>-30344.993064</v>
      </c>
      <c r="AL27" s="158" t="n">
        <v>-30344.993064</v>
      </c>
      <c r="AM27" s="158" t="n">
        <v>-30344.993064</v>
      </c>
      <c r="AN27" s="158" t="n">
        <v>-30344.993064</v>
      </c>
      <c r="AO27" s="158" t="n">
        <v>-30344.993064</v>
      </c>
      <c r="AP27" s="158" t="n">
        <v>-30951.89292528</v>
      </c>
      <c r="AQ27" s="158" t="n">
        <v>-30951.89292528</v>
      </c>
      <c r="AR27" s="158" t="n">
        <v>-30951.89292528</v>
      </c>
      <c r="AS27" s="158" t="n">
        <v>-30951.89292528</v>
      </c>
      <c r="AT27" s="158" t="n">
        <v>-30951.89292528</v>
      </c>
      <c r="AU27" s="158" t="n">
        <v>-30951.89292528</v>
      </c>
      <c r="AV27" s="158" t="n">
        <v>-30951.89292528</v>
      </c>
      <c r="AW27" s="158" t="n">
        <v>-30951.89292528</v>
      </c>
      <c r="AX27" s="158" t="n">
        <v>-30951.89292528</v>
      </c>
      <c r="AY27" s="158" t="n">
        <v>-30951.89292528</v>
      </c>
      <c r="AZ27" s="158" t="n">
        <v>-30951.89292528</v>
      </c>
      <c r="BA27" s="158" t="n">
        <v>-30951.89292528</v>
      </c>
      <c r="BB27" s="158" t="n">
        <v>-31570.9307837856</v>
      </c>
      <c r="BC27" s="158" t="n">
        <v>-31570.9307837856</v>
      </c>
      <c r="BD27" s="158" t="n">
        <v>-31570.9307837856</v>
      </c>
      <c r="BE27" s="158" t="n">
        <v>-31570.9307837856</v>
      </c>
      <c r="BF27" s="158" t="n">
        <v>-31570.9307837856</v>
      </c>
      <c r="BG27" s="158" t="n">
        <v>-31570.9307837856</v>
      </c>
      <c r="BH27" s="158" t="n">
        <v>-31570.9307837856</v>
      </c>
      <c r="BI27" s="158" t="n">
        <v>-31570.9307837856</v>
      </c>
      <c r="BJ27" s="158" t="n">
        <v>-31570.9307837856</v>
      </c>
      <c r="BK27" s="158" t="n">
        <v>-31570.9307837856</v>
      </c>
      <c r="BL27" s="158" t="n">
        <v>-31570.9307837856</v>
      </c>
      <c r="BM27" s="158" t="n">
        <v>-31570.9307837856</v>
      </c>
      <c r="BN27" s="158" t="n">
        <v>-32202.3493994613</v>
      </c>
      <c r="BO27" s="158" t="n">
        <v>-32202.3493994613</v>
      </c>
      <c r="BP27" s="158" t="n">
        <v>-32202.3493994613</v>
      </c>
      <c r="BQ27" s="158" t="n">
        <v>-32202.3493994613</v>
      </c>
      <c r="BR27" s="158" t="n">
        <v>-32202.3493994613</v>
      </c>
      <c r="BS27" s="158" t="n">
        <v>-32202.3493994613</v>
      </c>
      <c r="BT27" s="158" t="n">
        <v>-32202.3493994613</v>
      </c>
      <c r="BU27" s="158" t="n">
        <v>-32202.3493994613</v>
      </c>
      <c r="BV27" s="158" t="n">
        <v>-32202.3493994613</v>
      </c>
      <c r="BW27" s="158" t="n">
        <v>-32202.3493994613</v>
      </c>
      <c r="BX27" s="158" t="n">
        <v>-32202.3493994613</v>
      </c>
      <c r="BY27" s="158" t="n">
        <v>-32202.3493994613</v>
      </c>
      <c r="BZ27" s="158" t="n">
        <v>-32846.3963874505</v>
      </c>
      <c r="CA27" s="158" t="n">
        <v>-32846.3963874505</v>
      </c>
      <c r="CB27" s="158" t="n">
        <v>-32846.3963874505</v>
      </c>
      <c r="CC27" s="158" t="n">
        <v>-32846.3963874505</v>
      </c>
      <c r="CD27" s="158" t="n">
        <v>-32846.3963874505</v>
      </c>
      <c r="CE27" s="158" t="n">
        <v>-32846.3963874505</v>
      </c>
      <c r="CF27" s="158" t="n">
        <v>-32846.3963874505</v>
      </c>
      <c r="CG27" s="158" t="n">
        <v>-32846.3963874505</v>
      </c>
      <c r="CH27" s="158" t="n">
        <v>-32846.3963874505</v>
      </c>
      <c r="CI27" s="158" t="n">
        <v>-32846.3963874505</v>
      </c>
      <c r="CJ27" s="158" t="n">
        <v>-32846.3963874505</v>
      </c>
      <c r="CK27" s="158" t="n">
        <v>-32846.3963874505</v>
      </c>
      <c r="CL27" s="158" t="n">
        <v>-33503.3243151996</v>
      </c>
      <c r="CM27" s="158" t="n">
        <v>-33503.3243151996</v>
      </c>
      <c r="CN27" s="158" t="n">
        <v>-33503.3243151996</v>
      </c>
      <c r="CO27" s="158" t="n">
        <v>-33503.3243151996</v>
      </c>
      <c r="CP27" s="158" t="n">
        <v>-33503.3243151996</v>
      </c>
      <c r="CQ27" s="158" t="n">
        <v>-33503.3243151996</v>
      </c>
      <c r="CR27" s="158" t="n">
        <v>-33503.3243151996</v>
      </c>
      <c r="CS27" s="158" t="n">
        <v>-33503.3243151996</v>
      </c>
      <c r="CT27" s="158" t="n">
        <v>-33503.3243151996</v>
      </c>
      <c r="CU27" s="158" t="n">
        <v>-33503.3243151996</v>
      </c>
      <c r="CV27" s="158" t="n">
        <v>-33503.3243151996</v>
      </c>
      <c r="CW27" s="158" t="n">
        <v>-33503.3243151996</v>
      </c>
      <c r="CX27" s="158" t="n">
        <v>-34173.3908015035</v>
      </c>
      <c r="CY27" s="158" t="n">
        <v>-34173.3908015035</v>
      </c>
      <c r="CZ27" s="158" t="n">
        <v>-34173.3908015035</v>
      </c>
      <c r="DA27" s="158" t="n">
        <v>-34173.3908015035</v>
      </c>
      <c r="DB27" s="158" t="n">
        <v>-34173.3908015035</v>
      </c>
      <c r="DC27" s="158" t="n">
        <v>-34173.3908015035</v>
      </c>
      <c r="DD27" s="158" t="n">
        <v>-34173.3908015035</v>
      </c>
      <c r="DE27" s="158" t="n">
        <v>-34173.3908015035</v>
      </c>
      <c r="DF27" s="158" t="n">
        <v>-34173.3908015035</v>
      </c>
    </row>
    <row r="28" customFormat="false" ht="15" hidden="false" customHeight="true" outlineLevel="0" collapsed="false">
      <c r="A28" s="90" t="s">
        <v>71</v>
      </c>
      <c r="C28" s="104" t="n">
        <v>0</v>
      </c>
      <c r="D28" s="104" t="n">
        <v>0</v>
      </c>
      <c r="E28" s="104" t="n">
        <v>0</v>
      </c>
      <c r="F28" s="158" t="n">
        <v>0</v>
      </c>
      <c r="G28" s="158" t="n">
        <v>0</v>
      </c>
      <c r="H28" s="158" t="n">
        <v>0</v>
      </c>
      <c r="I28" s="158" t="n">
        <v>0</v>
      </c>
      <c r="J28" s="158" t="n">
        <v>0</v>
      </c>
      <c r="K28" s="158" t="n">
        <v>0</v>
      </c>
      <c r="L28" s="158" t="n">
        <v>0</v>
      </c>
      <c r="M28" s="158" t="n">
        <v>0</v>
      </c>
      <c r="N28" s="158" t="n">
        <v>0</v>
      </c>
      <c r="O28" s="158" t="n">
        <v>0</v>
      </c>
      <c r="P28" s="158" t="n">
        <v>0</v>
      </c>
      <c r="Q28" s="158" t="n">
        <v>0</v>
      </c>
      <c r="R28" s="158" t="n">
        <v>0</v>
      </c>
      <c r="S28" s="158" t="n">
        <v>0</v>
      </c>
      <c r="T28" s="158" t="n">
        <v>0</v>
      </c>
      <c r="U28" s="158" t="n">
        <v>0</v>
      </c>
      <c r="V28" s="158" t="n">
        <v>0</v>
      </c>
      <c r="W28" s="158" t="n">
        <v>0</v>
      </c>
      <c r="X28" s="158" t="n">
        <v>0</v>
      </c>
      <c r="Y28" s="158" t="n">
        <v>0</v>
      </c>
      <c r="Z28" s="158" t="n">
        <v>0</v>
      </c>
      <c r="AA28" s="158" t="n">
        <v>0</v>
      </c>
      <c r="AB28" s="158" t="n">
        <v>0</v>
      </c>
      <c r="AC28" s="158" t="n">
        <v>0</v>
      </c>
      <c r="AD28" s="158" t="n">
        <v>0</v>
      </c>
      <c r="AE28" s="158" t="n">
        <v>0</v>
      </c>
      <c r="AF28" s="158" t="n">
        <v>0</v>
      </c>
      <c r="AG28" s="158" t="n">
        <v>0</v>
      </c>
      <c r="AH28" s="158" t="n">
        <v>0</v>
      </c>
      <c r="AI28" s="158" t="n">
        <v>0</v>
      </c>
      <c r="AJ28" s="158" t="n">
        <v>0</v>
      </c>
      <c r="AK28" s="158" t="n">
        <v>0</v>
      </c>
      <c r="AL28" s="158" t="n">
        <v>0</v>
      </c>
      <c r="AM28" s="158" t="n">
        <v>0</v>
      </c>
      <c r="AN28" s="158" t="n">
        <v>0</v>
      </c>
      <c r="AO28" s="158" t="n">
        <v>0</v>
      </c>
      <c r="AP28" s="158" t="n">
        <v>0</v>
      </c>
      <c r="AQ28" s="158" t="n">
        <v>0</v>
      </c>
      <c r="AR28" s="158" t="n">
        <v>0</v>
      </c>
      <c r="AS28" s="158" t="n">
        <v>0</v>
      </c>
      <c r="AT28" s="158" t="n">
        <v>0</v>
      </c>
      <c r="AU28" s="158" t="n">
        <v>0</v>
      </c>
      <c r="AV28" s="158" t="n">
        <v>0</v>
      </c>
      <c r="AW28" s="158" t="n">
        <v>0</v>
      </c>
      <c r="AX28" s="158" t="n">
        <v>0</v>
      </c>
      <c r="AY28" s="158" t="n">
        <v>0</v>
      </c>
      <c r="AZ28" s="158" t="n">
        <v>0</v>
      </c>
      <c r="BA28" s="158" t="n">
        <v>0</v>
      </c>
      <c r="BB28" s="158" t="n">
        <v>0</v>
      </c>
      <c r="BC28" s="158" t="n">
        <v>0</v>
      </c>
      <c r="BD28" s="158" t="n">
        <v>0</v>
      </c>
      <c r="BE28" s="158" t="n">
        <v>0</v>
      </c>
      <c r="BF28" s="158" t="n">
        <v>0</v>
      </c>
      <c r="BG28" s="158" t="n">
        <v>0</v>
      </c>
      <c r="BH28" s="158" t="n">
        <v>0</v>
      </c>
      <c r="BI28" s="158" t="n">
        <v>0</v>
      </c>
      <c r="BJ28" s="158" t="n">
        <v>0</v>
      </c>
      <c r="BK28" s="158" t="n">
        <v>0</v>
      </c>
      <c r="BL28" s="158" t="n">
        <v>0</v>
      </c>
      <c r="BM28" s="158" t="n">
        <v>0</v>
      </c>
      <c r="BN28" s="158" t="n">
        <v>0</v>
      </c>
      <c r="BO28" s="158" t="n">
        <v>0</v>
      </c>
      <c r="BP28" s="158" t="n">
        <v>0</v>
      </c>
      <c r="BQ28" s="158" t="n">
        <v>0</v>
      </c>
      <c r="BR28" s="158" t="n">
        <v>0</v>
      </c>
      <c r="BS28" s="158" t="n">
        <v>0</v>
      </c>
      <c r="BT28" s="158" t="n">
        <v>0</v>
      </c>
      <c r="BU28" s="158" t="n">
        <v>0</v>
      </c>
      <c r="BV28" s="158" t="n">
        <v>0</v>
      </c>
      <c r="BW28" s="158" t="n">
        <v>0</v>
      </c>
      <c r="BX28" s="158" t="n">
        <v>0</v>
      </c>
      <c r="BY28" s="158" t="n">
        <v>0</v>
      </c>
      <c r="BZ28" s="158" t="n">
        <v>0</v>
      </c>
      <c r="CA28" s="158" t="n">
        <v>0</v>
      </c>
      <c r="CB28" s="158" t="n">
        <v>0</v>
      </c>
      <c r="CC28" s="158" t="n">
        <v>0</v>
      </c>
      <c r="CD28" s="158" t="n">
        <v>0</v>
      </c>
      <c r="CE28" s="158" t="n">
        <v>0</v>
      </c>
      <c r="CF28" s="158" t="n">
        <v>0</v>
      </c>
      <c r="CG28" s="158" t="n">
        <v>0</v>
      </c>
      <c r="CH28" s="158" t="n">
        <v>0</v>
      </c>
      <c r="CI28" s="158" t="n">
        <v>0</v>
      </c>
      <c r="CJ28" s="158" t="n">
        <v>0</v>
      </c>
      <c r="CK28" s="158" t="n">
        <v>0</v>
      </c>
      <c r="CL28" s="158" t="n">
        <v>0</v>
      </c>
      <c r="CM28" s="158" t="n">
        <v>0</v>
      </c>
      <c r="CN28" s="158" t="n">
        <v>0</v>
      </c>
      <c r="CO28" s="158" t="n">
        <v>0</v>
      </c>
      <c r="CP28" s="158" t="n">
        <v>0</v>
      </c>
      <c r="CQ28" s="158" t="n">
        <v>0</v>
      </c>
      <c r="CR28" s="158" t="n">
        <v>0</v>
      </c>
      <c r="CS28" s="158" t="n">
        <v>0</v>
      </c>
      <c r="CT28" s="158" t="n">
        <v>0</v>
      </c>
      <c r="CU28" s="158" t="n">
        <v>0</v>
      </c>
      <c r="CV28" s="158" t="n">
        <v>0</v>
      </c>
      <c r="CW28" s="158" t="n">
        <v>0</v>
      </c>
      <c r="CX28" s="158" t="n">
        <v>0</v>
      </c>
      <c r="CY28" s="158" t="n">
        <v>0</v>
      </c>
      <c r="CZ28" s="158" t="n">
        <v>0</v>
      </c>
      <c r="DA28" s="158" t="n">
        <v>0</v>
      </c>
      <c r="DB28" s="158" t="n">
        <v>0</v>
      </c>
      <c r="DC28" s="158" t="n">
        <v>0</v>
      </c>
      <c r="DD28" s="158" t="n">
        <v>0</v>
      </c>
      <c r="DE28" s="158" t="n">
        <v>0</v>
      </c>
      <c r="DF28" s="158" t="n">
        <v>0</v>
      </c>
    </row>
    <row r="29" customFormat="false" ht="15" hidden="false" customHeight="true" outlineLevel="0" collapsed="false">
      <c r="A29" s="90" t="s">
        <v>72</v>
      </c>
      <c r="C29" s="104" t="n">
        <v>-10400</v>
      </c>
      <c r="D29" s="104" t="n">
        <v>-10400</v>
      </c>
      <c r="E29" s="104" t="n">
        <v>-400</v>
      </c>
      <c r="F29" s="158" t="n">
        <v>-10400</v>
      </c>
      <c r="G29" s="158" t="n">
        <v>-10400</v>
      </c>
      <c r="H29" s="158" t="n">
        <v>-10400</v>
      </c>
      <c r="I29" s="158" t="n">
        <v>-10400</v>
      </c>
      <c r="J29" s="158" t="n">
        <v>-10400</v>
      </c>
      <c r="K29" s="158" t="n">
        <v>-10400</v>
      </c>
      <c r="L29" s="158" t="n">
        <v>-10400</v>
      </c>
      <c r="M29" s="158" t="n">
        <v>-10400</v>
      </c>
      <c r="N29" s="158" t="n">
        <v>-10400</v>
      </c>
      <c r="O29" s="158" t="n">
        <v>-10400</v>
      </c>
      <c r="P29" s="158" t="n">
        <v>-10400</v>
      </c>
      <c r="Q29" s="158" t="n">
        <v>-10400</v>
      </c>
      <c r="R29" s="158" t="n">
        <v>-10608</v>
      </c>
      <c r="S29" s="158" t="n">
        <v>-10608</v>
      </c>
      <c r="T29" s="158" t="n">
        <v>-10608</v>
      </c>
      <c r="U29" s="158" t="n">
        <v>-10608</v>
      </c>
      <c r="V29" s="158" t="n">
        <v>-10608</v>
      </c>
      <c r="W29" s="158" t="n">
        <v>-10608</v>
      </c>
      <c r="X29" s="158" t="n">
        <v>-10608</v>
      </c>
      <c r="Y29" s="158" t="n">
        <v>-10608</v>
      </c>
      <c r="Z29" s="158" t="n">
        <v>-10608</v>
      </c>
      <c r="AA29" s="158" t="n">
        <v>-10608</v>
      </c>
      <c r="AB29" s="158" t="n">
        <v>-10608</v>
      </c>
      <c r="AC29" s="158" t="n">
        <v>-10608</v>
      </c>
      <c r="AD29" s="158" t="n">
        <v>-10820.16</v>
      </c>
      <c r="AE29" s="158" t="n">
        <v>-10820.16</v>
      </c>
      <c r="AF29" s="158" t="n">
        <v>-10820.16</v>
      </c>
      <c r="AG29" s="158" t="n">
        <v>-10820.16</v>
      </c>
      <c r="AH29" s="158" t="n">
        <v>-10820.16</v>
      </c>
      <c r="AI29" s="158" t="n">
        <v>-10820.16</v>
      </c>
      <c r="AJ29" s="158" t="n">
        <v>-10820.16</v>
      </c>
      <c r="AK29" s="158" t="n">
        <v>-10820.16</v>
      </c>
      <c r="AL29" s="158" t="n">
        <v>-10820.16</v>
      </c>
      <c r="AM29" s="158" t="n">
        <v>-10820.16</v>
      </c>
      <c r="AN29" s="158" t="n">
        <v>-10820.16</v>
      </c>
      <c r="AO29" s="158" t="n">
        <v>-10820.16</v>
      </c>
      <c r="AP29" s="158" t="n">
        <v>-11036.5632</v>
      </c>
      <c r="AQ29" s="158" t="n">
        <v>-11036.5632</v>
      </c>
      <c r="AR29" s="158" t="n">
        <v>-11036.5632</v>
      </c>
      <c r="AS29" s="158" t="n">
        <v>-11036.5632</v>
      </c>
      <c r="AT29" s="158" t="n">
        <v>-11036.5632</v>
      </c>
      <c r="AU29" s="158" t="n">
        <v>-11036.5632</v>
      </c>
      <c r="AV29" s="158" t="n">
        <v>-11036.5632</v>
      </c>
      <c r="AW29" s="158" t="n">
        <v>-11036.5632</v>
      </c>
      <c r="AX29" s="158" t="n">
        <v>-11036.5632</v>
      </c>
      <c r="AY29" s="158" t="n">
        <v>-11036.5632</v>
      </c>
      <c r="AZ29" s="158" t="n">
        <v>-11036.5632</v>
      </c>
      <c r="BA29" s="158" t="n">
        <v>-11036.5632</v>
      </c>
      <c r="BB29" s="158" t="n">
        <v>-11257.294464</v>
      </c>
      <c r="BC29" s="158" t="n">
        <v>-11257.294464</v>
      </c>
      <c r="BD29" s="158" t="n">
        <v>-11257.294464</v>
      </c>
      <c r="BE29" s="158" t="n">
        <v>-11257.294464</v>
      </c>
      <c r="BF29" s="158" t="n">
        <v>-11257.294464</v>
      </c>
      <c r="BG29" s="158" t="n">
        <v>-11257.294464</v>
      </c>
      <c r="BH29" s="158" t="n">
        <v>-11257.294464</v>
      </c>
      <c r="BI29" s="158" t="n">
        <v>-11257.294464</v>
      </c>
      <c r="BJ29" s="158" t="n">
        <v>-11257.294464</v>
      </c>
      <c r="BK29" s="158" t="n">
        <v>-11257.294464</v>
      </c>
      <c r="BL29" s="158" t="n">
        <v>-11257.294464</v>
      </c>
      <c r="BM29" s="158" t="n">
        <v>-11257.294464</v>
      </c>
      <c r="BN29" s="158" t="n">
        <v>-11482.44035328</v>
      </c>
      <c r="BO29" s="158" t="n">
        <v>-11482.44035328</v>
      </c>
      <c r="BP29" s="158" t="n">
        <v>-11482.44035328</v>
      </c>
      <c r="BQ29" s="158" t="n">
        <v>-11482.44035328</v>
      </c>
      <c r="BR29" s="158" t="n">
        <v>-11482.44035328</v>
      </c>
      <c r="BS29" s="158" t="n">
        <v>-11482.44035328</v>
      </c>
      <c r="BT29" s="158" t="n">
        <v>-11482.44035328</v>
      </c>
      <c r="BU29" s="158" t="n">
        <v>-11482.44035328</v>
      </c>
      <c r="BV29" s="158" t="n">
        <v>-11482.44035328</v>
      </c>
      <c r="BW29" s="158" t="n">
        <v>-11482.44035328</v>
      </c>
      <c r="BX29" s="158" t="n">
        <v>-11482.44035328</v>
      </c>
      <c r="BY29" s="158" t="n">
        <v>-11482.44035328</v>
      </c>
      <c r="BZ29" s="158" t="n">
        <v>-11712.0891603456</v>
      </c>
      <c r="CA29" s="158" t="n">
        <v>-11712.0891603456</v>
      </c>
      <c r="CB29" s="158" t="n">
        <v>-11712.0891603456</v>
      </c>
      <c r="CC29" s="158" t="n">
        <v>-11712.0891603456</v>
      </c>
      <c r="CD29" s="158" t="n">
        <v>-11712.0891603456</v>
      </c>
      <c r="CE29" s="158" t="n">
        <v>-11712.0891603456</v>
      </c>
      <c r="CF29" s="158" t="n">
        <v>-11712.0891603456</v>
      </c>
      <c r="CG29" s="158" t="n">
        <v>-11712.0891603456</v>
      </c>
      <c r="CH29" s="158" t="n">
        <v>-11712.0891603456</v>
      </c>
      <c r="CI29" s="158" t="n">
        <v>-11712.0891603456</v>
      </c>
      <c r="CJ29" s="158" t="n">
        <v>-11712.0891603456</v>
      </c>
      <c r="CK29" s="158" t="n">
        <v>-11712.0891603456</v>
      </c>
      <c r="CL29" s="158" t="n">
        <v>-11946.3309435525</v>
      </c>
      <c r="CM29" s="158" t="n">
        <v>-11946.3309435525</v>
      </c>
      <c r="CN29" s="158" t="n">
        <v>-11946.3309435525</v>
      </c>
      <c r="CO29" s="158" t="n">
        <v>-11946.3309435525</v>
      </c>
      <c r="CP29" s="158" t="n">
        <v>-11946.3309435525</v>
      </c>
      <c r="CQ29" s="158" t="n">
        <v>-11946.3309435525</v>
      </c>
      <c r="CR29" s="158" t="n">
        <v>-11946.3309435525</v>
      </c>
      <c r="CS29" s="158" t="n">
        <v>-11946.3309435525</v>
      </c>
      <c r="CT29" s="158" t="n">
        <v>-11946.3309435525</v>
      </c>
      <c r="CU29" s="158" t="n">
        <v>-11946.3309435525</v>
      </c>
      <c r="CV29" s="158" t="n">
        <v>-11946.3309435525</v>
      </c>
      <c r="CW29" s="158" t="n">
        <v>-11946.3309435525</v>
      </c>
      <c r="CX29" s="158" t="n">
        <v>-12185.2575624236</v>
      </c>
      <c r="CY29" s="158" t="n">
        <v>-12185.2575624236</v>
      </c>
      <c r="CZ29" s="158" t="n">
        <v>-12185.2575624236</v>
      </c>
      <c r="DA29" s="158" t="n">
        <v>-12185.2575624236</v>
      </c>
      <c r="DB29" s="158" t="n">
        <v>-12185.2575624236</v>
      </c>
      <c r="DC29" s="158" t="n">
        <v>-12185.2575624236</v>
      </c>
      <c r="DD29" s="158" t="n">
        <v>-12185.2575624236</v>
      </c>
      <c r="DE29" s="158" t="n">
        <v>-12185.2575624236</v>
      </c>
      <c r="DF29" s="158" t="n">
        <v>-12185.2575624236</v>
      </c>
    </row>
    <row r="30" customFormat="false" ht="15" hidden="false" customHeight="true" outlineLevel="0" collapsed="false">
      <c r="A30" s="90" t="s">
        <v>73</v>
      </c>
      <c r="C30" s="104" t="n">
        <v>-1988</v>
      </c>
      <c r="D30" s="104" t="n">
        <v>-955.32</v>
      </c>
      <c r="E30" s="104" t="n">
        <v>-9130.61</v>
      </c>
      <c r="F30" s="158" t="n">
        <v>-4024.64</v>
      </c>
      <c r="G30" s="158" t="n">
        <v>-4024.64</v>
      </c>
      <c r="H30" s="158" t="n">
        <v>-4024.64</v>
      </c>
      <c r="I30" s="158" t="n">
        <v>-4024.64</v>
      </c>
      <c r="J30" s="158" t="n">
        <v>-4024.64</v>
      </c>
      <c r="K30" s="158" t="n">
        <v>-4024.64</v>
      </c>
      <c r="L30" s="158" t="n">
        <v>-4024.64</v>
      </c>
      <c r="M30" s="158" t="n">
        <v>-4024.64</v>
      </c>
      <c r="N30" s="158" t="n">
        <v>-4024.64</v>
      </c>
      <c r="O30" s="158" t="n">
        <v>-4024.64</v>
      </c>
      <c r="P30" s="158" t="n">
        <v>-4024.64</v>
      </c>
      <c r="Q30" s="158" t="n">
        <v>-4024.64</v>
      </c>
      <c r="R30" s="158" t="n">
        <v>-4105.1328</v>
      </c>
      <c r="S30" s="158" t="n">
        <v>-4105.1328</v>
      </c>
      <c r="T30" s="158" t="n">
        <v>-4105.1328</v>
      </c>
      <c r="U30" s="158" t="n">
        <v>-4105.1328</v>
      </c>
      <c r="V30" s="158" t="n">
        <v>-4105.1328</v>
      </c>
      <c r="W30" s="158" t="n">
        <v>-4105.1328</v>
      </c>
      <c r="X30" s="158" t="n">
        <v>-4105.1328</v>
      </c>
      <c r="Y30" s="158" t="n">
        <v>-4105.1328</v>
      </c>
      <c r="Z30" s="158" t="n">
        <v>-4105.1328</v>
      </c>
      <c r="AA30" s="158" t="n">
        <v>-4105.1328</v>
      </c>
      <c r="AB30" s="158" t="n">
        <v>-4105.1328</v>
      </c>
      <c r="AC30" s="158" t="n">
        <v>-4105.1328</v>
      </c>
      <c r="AD30" s="158" t="n">
        <v>-4187.235456</v>
      </c>
      <c r="AE30" s="158" t="n">
        <v>-4187.235456</v>
      </c>
      <c r="AF30" s="158" t="n">
        <v>-4187.235456</v>
      </c>
      <c r="AG30" s="158" t="n">
        <v>-4187.235456</v>
      </c>
      <c r="AH30" s="158" t="n">
        <v>-4187.235456</v>
      </c>
      <c r="AI30" s="158" t="n">
        <v>-4187.235456</v>
      </c>
      <c r="AJ30" s="158" t="n">
        <v>-4187.235456</v>
      </c>
      <c r="AK30" s="158" t="n">
        <v>-4187.235456</v>
      </c>
      <c r="AL30" s="158" t="n">
        <v>-4187.235456</v>
      </c>
      <c r="AM30" s="158" t="n">
        <v>-4187.235456</v>
      </c>
      <c r="AN30" s="158" t="n">
        <v>-4187.235456</v>
      </c>
      <c r="AO30" s="158" t="n">
        <v>-4187.235456</v>
      </c>
      <c r="AP30" s="158" t="n">
        <v>-4270.98016512</v>
      </c>
      <c r="AQ30" s="158" t="n">
        <v>-4270.98016512</v>
      </c>
      <c r="AR30" s="158" t="n">
        <v>-4270.98016512</v>
      </c>
      <c r="AS30" s="158" t="n">
        <v>-4270.98016512</v>
      </c>
      <c r="AT30" s="158" t="n">
        <v>-4270.98016512</v>
      </c>
      <c r="AU30" s="158" t="n">
        <v>-4270.98016512</v>
      </c>
      <c r="AV30" s="158" t="n">
        <v>-4270.98016512</v>
      </c>
      <c r="AW30" s="158" t="n">
        <v>-4270.98016512</v>
      </c>
      <c r="AX30" s="158" t="n">
        <v>-4270.98016512</v>
      </c>
      <c r="AY30" s="158" t="n">
        <v>-4270.98016512</v>
      </c>
      <c r="AZ30" s="158" t="n">
        <v>-4270.98016512</v>
      </c>
      <c r="BA30" s="158" t="n">
        <v>-4270.98016512</v>
      </c>
      <c r="BB30" s="158" t="n">
        <v>-4356.3997684224</v>
      </c>
      <c r="BC30" s="158" t="n">
        <v>-4356.3997684224</v>
      </c>
      <c r="BD30" s="158" t="n">
        <v>-4356.3997684224</v>
      </c>
      <c r="BE30" s="158" t="n">
        <v>-4356.3997684224</v>
      </c>
      <c r="BF30" s="158" t="n">
        <v>-4356.3997684224</v>
      </c>
      <c r="BG30" s="158" t="n">
        <v>-4356.3997684224</v>
      </c>
      <c r="BH30" s="158" t="n">
        <v>-4356.3997684224</v>
      </c>
      <c r="BI30" s="158" t="n">
        <v>-4356.3997684224</v>
      </c>
      <c r="BJ30" s="158" t="n">
        <v>-4356.3997684224</v>
      </c>
      <c r="BK30" s="158" t="n">
        <v>-4356.3997684224</v>
      </c>
      <c r="BL30" s="158" t="n">
        <v>-4356.3997684224</v>
      </c>
      <c r="BM30" s="158" t="n">
        <v>-4356.3997684224</v>
      </c>
      <c r="BN30" s="158" t="n">
        <v>-4443.52776379085</v>
      </c>
      <c r="BO30" s="158" t="n">
        <v>-4443.52776379085</v>
      </c>
      <c r="BP30" s="158" t="n">
        <v>-4443.52776379085</v>
      </c>
      <c r="BQ30" s="158" t="n">
        <v>-4443.52776379085</v>
      </c>
      <c r="BR30" s="158" t="n">
        <v>-4443.52776379085</v>
      </c>
      <c r="BS30" s="158" t="n">
        <v>-4443.52776379085</v>
      </c>
      <c r="BT30" s="158" t="n">
        <v>-4443.52776379085</v>
      </c>
      <c r="BU30" s="158" t="n">
        <v>-4443.52776379085</v>
      </c>
      <c r="BV30" s="158" t="n">
        <v>-4443.52776379085</v>
      </c>
      <c r="BW30" s="158" t="n">
        <v>-4443.52776379085</v>
      </c>
      <c r="BX30" s="158" t="n">
        <v>-4443.52776379085</v>
      </c>
      <c r="BY30" s="158" t="n">
        <v>-4443.52776379085</v>
      </c>
      <c r="BZ30" s="158" t="n">
        <v>-4532.39831906667</v>
      </c>
      <c r="CA30" s="158" t="n">
        <v>-4532.39831906667</v>
      </c>
      <c r="CB30" s="158" t="n">
        <v>-4532.39831906667</v>
      </c>
      <c r="CC30" s="158" t="n">
        <v>-4532.39831906667</v>
      </c>
      <c r="CD30" s="158" t="n">
        <v>-4532.39831906667</v>
      </c>
      <c r="CE30" s="158" t="n">
        <v>-4532.39831906667</v>
      </c>
      <c r="CF30" s="158" t="n">
        <v>-4532.39831906667</v>
      </c>
      <c r="CG30" s="158" t="n">
        <v>-4532.39831906667</v>
      </c>
      <c r="CH30" s="158" t="n">
        <v>-4532.39831906667</v>
      </c>
      <c r="CI30" s="158" t="n">
        <v>-4532.39831906667</v>
      </c>
      <c r="CJ30" s="158" t="n">
        <v>-4532.39831906667</v>
      </c>
      <c r="CK30" s="158" t="n">
        <v>-4532.39831906667</v>
      </c>
      <c r="CL30" s="158" t="n">
        <v>-4623.046285448</v>
      </c>
      <c r="CM30" s="158" t="n">
        <v>-4623.046285448</v>
      </c>
      <c r="CN30" s="158" t="n">
        <v>-4623.046285448</v>
      </c>
      <c r="CO30" s="158" t="n">
        <v>-4623.046285448</v>
      </c>
      <c r="CP30" s="158" t="n">
        <v>-4623.046285448</v>
      </c>
      <c r="CQ30" s="158" t="n">
        <v>-4623.046285448</v>
      </c>
      <c r="CR30" s="158" t="n">
        <v>-4623.046285448</v>
      </c>
      <c r="CS30" s="158" t="n">
        <v>-4623.046285448</v>
      </c>
      <c r="CT30" s="158" t="n">
        <v>-4623.046285448</v>
      </c>
      <c r="CU30" s="158" t="n">
        <v>-4623.046285448</v>
      </c>
      <c r="CV30" s="158" t="n">
        <v>-4623.046285448</v>
      </c>
      <c r="CW30" s="158" t="n">
        <v>-4623.046285448</v>
      </c>
      <c r="CX30" s="158" t="n">
        <v>-4715.50721115696</v>
      </c>
      <c r="CY30" s="158" t="n">
        <v>-4715.50721115696</v>
      </c>
      <c r="CZ30" s="158" t="n">
        <v>-4715.50721115696</v>
      </c>
      <c r="DA30" s="158" t="n">
        <v>-4715.50721115696</v>
      </c>
      <c r="DB30" s="158" t="n">
        <v>-4715.50721115696</v>
      </c>
      <c r="DC30" s="158" t="n">
        <v>-4715.50721115696</v>
      </c>
      <c r="DD30" s="158" t="n">
        <v>-4715.50721115696</v>
      </c>
      <c r="DE30" s="158" t="n">
        <v>-4715.50721115696</v>
      </c>
      <c r="DF30" s="158" t="n">
        <v>-4715.50721115696</v>
      </c>
    </row>
    <row r="31" customFormat="false" ht="15" hidden="false" customHeight="true" outlineLevel="0" collapsed="false">
      <c r="A31" s="90" t="s">
        <v>74</v>
      </c>
      <c r="C31" s="104" t="n">
        <v>0</v>
      </c>
      <c r="D31" s="104" t="n">
        <v>0</v>
      </c>
      <c r="E31" s="104" t="n">
        <v>-1077.38</v>
      </c>
      <c r="F31" s="158" t="n">
        <v>-359.13</v>
      </c>
      <c r="G31" s="158" t="n">
        <v>-359.13</v>
      </c>
      <c r="H31" s="158" t="n">
        <v>-359.13</v>
      </c>
      <c r="I31" s="158" t="n">
        <v>-359.13</v>
      </c>
      <c r="J31" s="158" t="n">
        <v>-359.13</v>
      </c>
      <c r="K31" s="158" t="n">
        <v>-359.13</v>
      </c>
      <c r="L31" s="158" t="n">
        <v>-359.13</v>
      </c>
      <c r="M31" s="158" t="n">
        <v>-359.13</v>
      </c>
      <c r="N31" s="158" t="n">
        <v>-359.13</v>
      </c>
      <c r="O31" s="158" t="n">
        <v>-359.13</v>
      </c>
      <c r="P31" s="158" t="n">
        <v>-359.13</v>
      </c>
      <c r="Q31" s="158" t="n">
        <v>-359.13</v>
      </c>
      <c r="R31" s="158" t="n">
        <v>-366.3126</v>
      </c>
      <c r="S31" s="158" t="n">
        <v>-366.3126</v>
      </c>
      <c r="T31" s="158" t="n">
        <v>-366.3126</v>
      </c>
      <c r="U31" s="158" t="n">
        <v>-366.3126</v>
      </c>
      <c r="V31" s="158" t="n">
        <v>-366.3126</v>
      </c>
      <c r="W31" s="158" t="n">
        <v>-366.3126</v>
      </c>
      <c r="X31" s="158" t="n">
        <v>-366.3126</v>
      </c>
      <c r="Y31" s="158" t="n">
        <v>-366.3126</v>
      </c>
      <c r="Z31" s="158" t="n">
        <v>-366.3126</v>
      </c>
      <c r="AA31" s="158" t="n">
        <v>-366.3126</v>
      </c>
      <c r="AB31" s="158" t="n">
        <v>-366.3126</v>
      </c>
      <c r="AC31" s="158" t="n">
        <v>-366.3126</v>
      </c>
      <c r="AD31" s="158" t="n">
        <v>-373.638852</v>
      </c>
      <c r="AE31" s="158" t="n">
        <v>-373.638852</v>
      </c>
      <c r="AF31" s="158" t="n">
        <v>-373.638852</v>
      </c>
      <c r="AG31" s="158" t="n">
        <v>-373.638852</v>
      </c>
      <c r="AH31" s="158" t="n">
        <v>-373.638852</v>
      </c>
      <c r="AI31" s="158" t="n">
        <v>-373.638852</v>
      </c>
      <c r="AJ31" s="158" t="n">
        <v>-373.638852</v>
      </c>
      <c r="AK31" s="158" t="n">
        <v>-373.638852</v>
      </c>
      <c r="AL31" s="158" t="n">
        <v>-373.638852</v>
      </c>
      <c r="AM31" s="158" t="n">
        <v>-373.638852</v>
      </c>
      <c r="AN31" s="158" t="n">
        <v>-373.638852</v>
      </c>
      <c r="AO31" s="158" t="n">
        <v>-373.638852</v>
      </c>
      <c r="AP31" s="158" t="n">
        <v>-381.11162904</v>
      </c>
      <c r="AQ31" s="158" t="n">
        <v>-381.11162904</v>
      </c>
      <c r="AR31" s="158" t="n">
        <v>-381.11162904</v>
      </c>
      <c r="AS31" s="158" t="n">
        <v>-381.11162904</v>
      </c>
      <c r="AT31" s="158" t="n">
        <v>-381.11162904</v>
      </c>
      <c r="AU31" s="158" t="n">
        <v>-381.11162904</v>
      </c>
      <c r="AV31" s="158" t="n">
        <v>-381.11162904</v>
      </c>
      <c r="AW31" s="158" t="n">
        <v>-381.11162904</v>
      </c>
      <c r="AX31" s="158" t="n">
        <v>-381.11162904</v>
      </c>
      <c r="AY31" s="158" t="n">
        <v>-381.11162904</v>
      </c>
      <c r="AZ31" s="158" t="n">
        <v>-381.11162904</v>
      </c>
      <c r="BA31" s="158" t="n">
        <v>-381.11162904</v>
      </c>
      <c r="BB31" s="158" t="n">
        <v>-388.7338616208</v>
      </c>
      <c r="BC31" s="158" t="n">
        <v>-388.7338616208</v>
      </c>
      <c r="BD31" s="158" t="n">
        <v>-388.7338616208</v>
      </c>
      <c r="BE31" s="158" t="n">
        <v>-388.7338616208</v>
      </c>
      <c r="BF31" s="158" t="n">
        <v>-388.7338616208</v>
      </c>
      <c r="BG31" s="158" t="n">
        <v>-388.7338616208</v>
      </c>
      <c r="BH31" s="158" t="n">
        <v>-388.7338616208</v>
      </c>
      <c r="BI31" s="158" t="n">
        <v>-388.7338616208</v>
      </c>
      <c r="BJ31" s="158" t="n">
        <v>-388.7338616208</v>
      </c>
      <c r="BK31" s="158" t="n">
        <v>-388.7338616208</v>
      </c>
      <c r="BL31" s="158" t="n">
        <v>-388.7338616208</v>
      </c>
      <c r="BM31" s="158" t="n">
        <v>-388.7338616208</v>
      </c>
      <c r="BN31" s="158" t="n">
        <v>-396.508538853216</v>
      </c>
      <c r="BO31" s="158" t="n">
        <v>-396.508538853216</v>
      </c>
      <c r="BP31" s="158" t="n">
        <v>-396.508538853216</v>
      </c>
      <c r="BQ31" s="158" t="n">
        <v>-396.508538853216</v>
      </c>
      <c r="BR31" s="158" t="n">
        <v>-396.508538853216</v>
      </c>
      <c r="BS31" s="158" t="n">
        <v>-396.508538853216</v>
      </c>
      <c r="BT31" s="158" t="n">
        <v>-396.508538853216</v>
      </c>
      <c r="BU31" s="158" t="n">
        <v>-396.508538853216</v>
      </c>
      <c r="BV31" s="158" t="n">
        <v>-396.508538853216</v>
      </c>
      <c r="BW31" s="158" t="n">
        <v>-396.508538853216</v>
      </c>
      <c r="BX31" s="158" t="n">
        <v>-396.508538853216</v>
      </c>
      <c r="BY31" s="158" t="n">
        <v>-396.508538853216</v>
      </c>
      <c r="BZ31" s="158" t="n">
        <v>-404.43870963028</v>
      </c>
      <c r="CA31" s="158" t="n">
        <v>-404.43870963028</v>
      </c>
      <c r="CB31" s="158" t="n">
        <v>-404.43870963028</v>
      </c>
      <c r="CC31" s="158" t="n">
        <v>-404.43870963028</v>
      </c>
      <c r="CD31" s="158" t="n">
        <v>-404.43870963028</v>
      </c>
      <c r="CE31" s="158" t="n">
        <v>-404.43870963028</v>
      </c>
      <c r="CF31" s="158" t="n">
        <v>-404.43870963028</v>
      </c>
      <c r="CG31" s="158" t="n">
        <v>-404.43870963028</v>
      </c>
      <c r="CH31" s="158" t="n">
        <v>-404.43870963028</v>
      </c>
      <c r="CI31" s="158" t="n">
        <v>-404.43870963028</v>
      </c>
      <c r="CJ31" s="158" t="n">
        <v>-404.43870963028</v>
      </c>
      <c r="CK31" s="158" t="n">
        <v>-404.43870963028</v>
      </c>
      <c r="CL31" s="158" t="n">
        <v>-412.527483822886</v>
      </c>
      <c r="CM31" s="158" t="n">
        <v>-412.527483822886</v>
      </c>
      <c r="CN31" s="158" t="n">
        <v>-412.527483822886</v>
      </c>
      <c r="CO31" s="158" t="n">
        <v>-412.527483822886</v>
      </c>
      <c r="CP31" s="158" t="n">
        <v>-412.527483822886</v>
      </c>
      <c r="CQ31" s="158" t="n">
        <v>-412.527483822886</v>
      </c>
      <c r="CR31" s="158" t="n">
        <v>-412.527483822886</v>
      </c>
      <c r="CS31" s="158" t="n">
        <v>-412.527483822886</v>
      </c>
      <c r="CT31" s="158" t="n">
        <v>-412.527483822886</v>
      </c>
      <c r="CU31" s="158" t="n">
        <v>-412.527483822886</v>
      </c>
      <c r="CV31" s="158" t="n">
        <v>-412.527483822886</v>
      </c>
      <c r="CW31" s="158" t="n">
        <v>-412.527483822886</v>
      </c>
      <c r="CX31" s="158" t="n">
        <v>-420.778033499344</v>
      </c>
      <c r="CY31" s="158" t="n">
        <v>-420.778033499344</v>
      </c>
      <c r="CZ31" s="158" t="n">
        <v>-420.778033499344</v>
      </c>
      <c r="DA31" s="158" t="n">
        <v>-420.778033499344</v>
      </c>
      <c r="DB31" s="158" t="n">
        <v>-420.778033499344</v>
      </c>
      <c r="DC31" s="158" t="n">
        <v>-420.778033499344</v>
      </c>
      <c r="DD31" s="158" t="n">
        <v>-420.778033499344</v>
      </c>
      <c r="DE31" s="158" t="n">
        <v>-420.778033499344</v>
      </c>
      <c r="DF31" s="158" t="n">
        <v>-420.778033499344</v>
      </c>
    </row>
    <row r="32" customFormat="false" ht="15" hidden="false" customHeight="true" outlineLevel="0" collapsed="false">
      <c r="A32" s="99" t="s">
        <v>75</v>
      </c>
      <c r="C32" s="159" t="n">
        <v>-79</v>
      </c>
      <c r="D32" s="159" t="n">
        <v>0</v>
      </c>
      <c r="E32" s="159" t="n">
        <v>0</v>
      </c>
      <c r="F32" s="160" t="n">
        <v>-26.33</v>
      </c>
      <c r="G32" s="160" t="n">
        <v>-26.33</v>
      </c>
      <c r="H32" s="160" t="n">
        <v>-26.33</v>
      </c>
      <c r="I32" s="160" t="n">
        <v>-26.33</v>
      </c>
      <c r="J32" s="160" t="n">
        <v>-26.33</v>
      </c>
      <c r="K32" s="160" t="n">
        <v>-26.33</v>
      </c>
      <c r="L32" s="160" t="n">
        <v>-26.33</v>
      </c>
      <c r="M32" s="160" t="n">
        <v>-26.33</v>
      </c>
      <c r="N32" s="160" t="n">
        <v>-26.33</v>
      </c>
      <c r="O32" s="160" t="n">
        <v>-26.33</v>
      </c>
      <c r="P32" s="160" t="n">
        <v>-26.33</v>
      </c>
      <c r="Q32" s="160" t="n">
        <v>-26.33</v>
      </c>
      <c r="R32" s="160" t="n">
        <v>-26.8566</v>
      </c>
      <c r="S32" s="160" t="n">
        <v>-26.8566</v>
      </c>
      <c r="T32" s="160" t="n">
        <v>-26.8566</v>
      </c>
      <c r="U32" s="160" t="n">
        <v>-26.8566</v>
      </c>
      <c r="V32" s="160" t="n">
        <v>-26.8566</v>
      </c>
      <c r="W32" s="160" t="n">
        <v>-26.8566</v>
      </c>
      <c r="X32" s="160" t="n">
        <v>-26.8566</v>
      </c>
      <c r="Y32" s="160" t="n">
        <v>-26.8566</v>
      </c>
      <c r="Z32" s="160" t="n">
        <v>-26.8566</v>
      </c>
      <c r="AA32" s="160" t="n">
        <v>-26.8566</v>
      </c>
      <c r="AB32" s="160" t="n">
        <v>-26.8566</v>
      </c>
      <c r="AC32" s="160" t="n">
        <v>-26.8566</v>
      </c>
      <c r="AD32" s="160" t="n">
        <v>-27.393732</v>
      </c>
      <c r="AE32" s="160" t="n">
        <v>-27.393732</v>
      </c>
      <c r="AF32" s="160" t="n">
        <v>-27.393732</v>
      </c>
      <c r="AG32" s="160" t="n">
        <v>-27.393732</v>
      </c>
      <c r="AH32" s="160" t="n">
        <v>-27.393732</v>
      </c>
      <c r="AI32" s="160" t="n">
        <v>-27.393732</v>
      </c>
      <c r="AJ32" s="160" t="n">
        <v>-27.393732</v>
      </c>
      <c r="AK32" s="160" t="n">
        <v>-27.393732</v>
      </c>
      <c r="AL32" s="160" t="n">
        <v>-27.393732</v>
      </c>
      <c r="AM32" s="160" t="n">
        <v>-27.393732</v>
      </c>
      <c r="AN32" s="160" t="n">
        <v>-27.393732</v>
      </c>
      <c r="AO32" s="160" t="n">
        <v>-27.393732</v>
      </c>
      <c r="AP32" s="160" t="n">
        <v>-27.94160664</v>
      </c>
      <c r="AQ32" s="160" t="n">
        <v>-27.94160664</v>
      </c>
      <c r="AR32" s="160" t="n">
        <v>-27.94160664</v>
      </c>
      <c r="AS32" s="160" t="n">
        <v>-27.94160664</v>
      </c>
      <c r="AT32" s="160" t="n">
        <v>-27.94160664</v>
      </c>
      <c r="AU32" s="160" t="n">
        <v>-27.94160664</v>
      </c>
      <c r="AV32" s="160" t="n">
        <v>-27.94160664</v>
      </c>
      <c r="AW32" s="160" t="n">
        <v>-27.94160664</v>
      </c>
      <c r="AX32" s="160" t="n">
        <v>-27.94160664</v>
      </c>
      <c r="AY32" s="160" t="n">
        <v>-27.94160664</v>
      </c>
      <c r="AZ32" s="160" t="n">
        <v>-27.94160664</v>
      </c>
      <c r="BA32" s="160" t="n">
        <v>-27.94160664</v>
      </c>
      <c r="BB32" s="160" t="n">
        <v>-28.5004387728</v>
      </c>
      <c r="BC32" s="160" t="n">
        <v>-28.5004387728</v>
      </c>
      <c r="BD32" s="160" t="n">
        <v>-28.5004387728</v>
      </c>
      <c r="BE32" s="160" t="n">
        <v>-28.5004387728</v>
      </c>
      <c r="BF32" s="160" t="n">
        <v>-28.5004387728</v>
      </c>
      <c r="BG32" s="160" t="n">
        <v>-28.5004387728</v>
      </c>
      <c r="BH32" s="160" t="n">
        <v>-28.5004387728</v>
      </c>
      <c r="BI32" s="160" t="n">
        <v>-28.5004387728</v>
      </c>
      <c r="BJ32" s="160" t="n">
        <v>-28.5004387728</v>
      </c>
      <c r="BK32" s="160" t="n">
        <v>-28.5004387728</v>
      </c>
      <c r="BL32" s="160" t="n">
        <v>-28.5004387728</v>
      </c>
      <c r="BM32" s="160" t="n">
        <v>-28.5004387728</v>
      </c>
      <c r="BN32" s="160" t="n">
        <v>-29.070447548256</v>
      </c>
      <c r="BO32" s="160" t="n">
        <v>-29.070447548256</v>
      </c>
      <c r="BP32" s="160" t="n">
        <v>-29.070447548256</v>
      </c>
      <c r="BQ32" s="160" t="n">
        <v>-29.070447548256</v>
      </c>
      <c r="BR32" s="160" t="n">
        <v>-29.070447548256</v>
      </c>
      <c r="BS32" s="160" t="n">
        <v>-29.070447548256</v>
      </c>
      <c r="BT32" s="160" t="n">
        <v>-29.070447548256</v>
      </c>
      <c r="BU32" s="160" t="n">
        <v>-29.070447548256</v>
      </c>
      <c r="BV32" s="160" t="n">
        <v>-29.070447548256</v>
      </c>
      <c r="BW32" s="160" t="n">
        <v>-29.070447548256</v>
      </c>
      <c r="BX32" s="160" t="n">
        <v>-29.070447548256</v>
      </c>
      <c r="BY32" s="160" t="n">
        <v>-29.070447548256</v>
      </c>
      <c r="BZ32" s="160" t="n">
        <v>-29.6518564992211</v>
      </c>
      <c r="CA32" s="160" t="n">
        <v>-29.6518564992211</v>
      </c>
      <c r="CB32" s="160" t="n">
        <v>-29.6518564992211</v>
      </c>
      <c r="CC32" s="160" t="n">
        <v>-29.6518564992211</v>
      </c>
      <c r="CD32" s="160" t="n">
        <v>-29.6518564992211</v>
      </c>
      <c r="CE32" s="160" t="n">
        <v>-29.6518564992211</v>
      </c>
      <c r="CF32" s="160" t="n">
        <v>-29.6518564992211</v>
      </c>
      <c r="CG32" s="160" t="n">
        <v>-29.6518564992211</v>
      </c>
      <c r="CH32" s="160" t="n">
        <v>-29.6518564992211</v>
      </c>
      <c r="CI32" s="160" t="n">
        <v>-29.6518564992211</v>
      </c>
      <c r="CJ32" s="160" t="n">
        <v>-29.6518564992211</v>
      </c>
      <c r="CK32" s="160" t="n">
        <v>-29.6518564992211</v>
      </c>
      <c r="CL32" s="160" t="n">
        <v>-30.2448936292055</v>
      </c>
      <c r="CM32" s="160" t="n">
        <v>-30.2448936292055</v>
      </c>
      <c r="CN32" s="160" t="n">
        <v>-30.2448936292055</v>
      </c>
      <c r="CO32" s="160" t="n">
        <v>-30.2448936292055</v>
      </c>
      <c r="CP32" s="160" t="n">
        <v>-30.2448936292055</v>
      </c>
      <c r="CQ32" s="160" t="n">
        <v>-30.2448936292055</v>
      </c>
      <c r="CR32" s="160" t="n">
        <v>-30.2448936292055</v>
      </c>
      <c r="CS32" s="160" t="n">
        <v>-30.2448936292055</v>
      </c>
      <c r="CT32" s="160" t="n">
        <v>-30.2448936292055</v>
      </c>
      <c r="CU32" s="160" t="n">
        <v>-30.2448936292055</v>
      </c>
      <c r="CV32" s="160" t="n">
        <v>-30.2448936292055</v>
      </c>
      <c r="CW32" s="160" t="n">
        <v>-30.2448936292055</v>
      </c>
      <c r="CX32" s="160" t="n">
        <v>-30.8497915017897</v>
      </c>
      <c r="CY32" s="160" t="n">
        <v>-30.8497915017897</v>
      </c>
      <c r="CZ32" s="160" t="n">
        <v>-30.8497915017897</v>
      </c>
      <c r="DA32" s="160" t="n">
        <v>-30.8497915017897</v>
      </c>
      <c r="DB32" s="160" t="n">
        <v>-30.8497915017897</v>
      </c>
      <c r="DC32" s="160" t="n">
        <v>-30.8497915017897</v>
      </c>
      <c r="DD32" s="160" t="n">
        <v>-30.8497915017897</v>
      </c>
      <c r="DE32" s="160" t="n">
        <v>-30.8497915017897</v>
      </c>
      <c r="DF32" s="160" t="n">
        <v>-30.8497915017897</v>
      </c>
    </row>
    <row r="33" customFormat="false" ht="15" hidden="false" customHeight="true" outlineLevel="0" collapsed="false">
      <c r="A33" s="90" t="s">
        <v>124</v>
      </c>
      <c r="C33" s="104" t="n">
        <v>-3405.64</v>
      </c>
      <c r="D33" s="104" t="n">
        <v>-5015.38</v>
      </c>
      <c r="E33" s="104" t="n">
        <v>-7481.39</v>
      </c>
      <c r="F33" s="158" t="n">
        <v>-5300.8</v>
      </c>
      <c r="G33" s="158" t="n">
        <v>-5300.8</v>
      </c>
      <c r="H33" s="158" t="n">
        <v>-5300.8</v>
      </c>
      <c r="I33" s="158" t="n">
        <v>-5300.8</v>
      </c>
      <c r="J33" s="158" t="n">
        <v>-5300.8</v>
      </c>
      <c r="K33" s="158" t="n">
        <v>-5300.8</v>
      </c>
      <c r="L33" s="158" t="n">
        <v>-5300.8</v>
      </c>
      <c r="M33" s="158" t="n">
        <v>-5300.8</v>
      </c>
      <c r="N33" s="158" t="n">
        <v>-5300.8</v>
      </c>
      <c r="O33" s="158" t="n">
        <v>-5300.8</v>
      </c>
      <c r="P33" s="158" t="n">
        <v>-5300.8</v>
      </c>
      <c r="Q33" s="158" t="n">
        <v>-5300.8</v>
      </c>
      <c r="R33" s="158" t="n">
        <v>-5406.816</v>
      </c>
      <c r="S33" s="158" t="n">
        <v>-5406.816</v>
      </c>
      <c r="T33" s="158" t="n">
        <v>-5406.816</v>
      </c>
      <c r="U33" s="158" t="n">
        <v>-5406.816</v>
      </c>
      <c r="V33" s="158" t="n">
        <v>-5406.816</v>
      </c>
      <c r="W33" s="158" t="n">
        <v>-5406.816</v>
      </c>
      <c r="X33" s="158" t="n">
        <v>-5406.816</v>
      </c>
      <c r="Y33" s="158" t="n">
        <v>-5406.816</v>
      </c>
      <c r="Z33" s="158" t="n">
        <v>-5406.816</v>
      </c>
      <c r="AA33" s="158" t="n">
        <v>-5406.816</v>
      </c>
      <c r="AB33" s="158" t="n">
        <v>-5406.816</v>
      </c>
      <c r="AC33" s="158" t="n">
        <v>-5406.816</v>
      </c>
      <c r="AD33" s="158" t="n">
        <v>-5514.95232</v>
      </c>
      <c r="AE33" s="158" t="n">
        <v>-5514.95232</v>
      </c>
      <c r="AF33" s="158" t="n">
        <v>-5514.95232</v>
      </c>
      <c r="AG33" s="158" t="n">
        <v>-5514.95232</v>
      </c>
      <c r="AH33" s="158" t="n">
        <v>-5514.95232</v>
      </c>
      <c r="AI33" s="158" t="n">
        <v>-5514.95232</v>
      </c>
      <c r="AJ33" s="158" t="n">
        <v>-5514.95232</v>
      </c>
      <c r="AK33" s="158" t="n">
        <v>-5514.95232</v>
      </c>
      <c r="AL33" s="158" t="n">
        <v>-5514.95232</v>
      </c>
      <c r="AM33" s="158" t="n">
        <v>-5514.95232</v>
      </c>
      <c r="AN33" s="158" t="n">
        <v>-5514.95232</v>
      </c>
      <c r="AO33" s="158" t="n">
        <v>-5514.95232</v>
      </c>
      <c r="AP33" s="158" t="n">
        <v>-5625.2513664</v>
      </c>
      <c r="AQ33" s="158" t="n">
        <v>-5625.2513664</v>
      </c>
      <c r="AR33" s="158" t="n">
        <v>-5625.2513664</v>
      </c>
      <c r="AS33" s="158" t="n">
        <v>-5625.2513664</v>
      </c>
      <c r="AT33" s="158" t="n">
        <v>-5625.2513664</v>
      </c>
      <c r="AU33" s="158" t="n">
        <v>-5625.2513664</v>
      </c>
      <c r="AV33" s="158" t="n">
        <v>-5625.2513664</v>
      </c>
      <c r="AW33" s="158" t="n">
        <v>-5625.2513664</v>
      </c>
      <c r="AX33" s="158" t="n">
        <v>-5625.2513664</v>
      </c>
      <c r="AY33" s="158" t="n">
        <v>-5625.2513664</v>
      </c>
      <c r="AZ33" s="158" t="n">
        <v>-5625.2513664</v>
      </c>
      <c r="BA33" s="158" t="n">
        <v>-5625.2513664</v>
      </c>
      <c r="BB33" s="158" t="n">
        <v>-5737.756393728</v>
      </c>
      <c r="BC33" s="158" t="n">
        <v>-5737.756393728</v>
      </c>
      <c r="BD33" s="158" t="n">
        <v>-5737.756393728</v>
      </c>
      <c r="BE33" s="158" t="n">
        <v>-5737.756393728</v>
      </c>
      <c r="BF33" s="158" t="n">
        <v>-5737.756393728</v>
      </c>
      <c r="BG33" s="158" t="n">
        <v>-5737.756393728</v>
      </c>
      <c r="BH33" s="158" t="n">
        <v>-5737.756393728</v>
      </c>
      <c r="BI33" s="158" t="n">
        <v>-5737.756393728</v>
      </c>
      <c r="BJ33" s="158" t="n">
        <v>-5737.756393728</v>
      </c>
      <c r="BK33" s="158" t="n">
        <v>-5737.756393728</v>
      </c>
      <c r="BL33" s="158" t="n">
        <v>-5737.756393728</v>
      </c>
      <c r="BM33" s="158" t="n">
        <v>-5737.756393728</v>
      </c>
      <c r="BN33" s="158" t="n">
        <v>-5852.51152160256</v>
      </c>
      <c r="BO33" s="158" t="n">
        <v>-5852.51152160256</v>
      </c>
      <c r="BP33" s="158" t="n">
        <v>-5852.51152160256</v>
      </c>
      <c r="BQ33" s="158" t="n">
        <v>-5852.51152160256</v>
      </c>
      <c r="BR33" s="158" t="n">
        <v>-5852.51152160256</v>
      </c>
      <c r="BS33" s="158" t="n">
        <v>-5852.51152160256</v>
      </c>
      <c r="BT33" s="158" t="n">
        <v>-5852.51152160256</v>
      </c>
      <c r="BU33" s="158" t="n">
        <v>-5852.51152160256</v>
      </c>
      <c r="BV33" s="158" t="n">
        <v>-5852.51152160256</v>
      </c>
      <c r="BW33" s="158" t="n">
        <v>-5852.51152160256</v>
      </c>
      <c r="BX33" s="158" t="n">
        <v>-5852.51152160256</v>
      </c>
      <c r="BY33" s="158" t="n">
        <v>-5852.51152160256</v>
      </c>
      <c r="BZ33" s="158" t="n">
        <v>-5969.56175203461</v>
      </c>
      <c r="CA33" s="158" t="n">
        <v>-5969.56175203461</v>
      </c>
      <c r="CB33" s="158" t="n">
        <v>-5969.56175203461</v>
      </c>
      <c r="CC33" s="158" t="n">
        <v>-5969.56175203461</v>
      </c>
      <c r="CD33" s="158" t="n">
        <v>-5969.56175203461</v>
      </c>
      <c r="CE33" s="158" t="n">
        <v>-5969.56175203461</v>
      </c>
      <c r="CF33" s="158" t="n">
        <v>-5969.56175203461</v>
      </c>
      <c r="CG33" s="158" t="n">
        <v>-5969.56175203461</v>
      </c>
      <c r="CH33" s="158" t="n">
        <v>-5969.56175203461</v>
      </c>
      <c r="CI33" s="158" t="n">
        <v>-5969.56175203461</v>
      </c>
      <c r="CJ33" s="158" t="n">
        <v>-5969.56175203461</v>
      </c>
      <c r="CK33" s="158" t="n">
        <v>-5969.56175203461</v>
      </c>
      <c r="CL33" s="158" t="n">
        <v>-6088.9529870753</v>
      </c>
      <c r="CM33" s="158" t="n">
        <v>-6088.9529870753</v>
      </c>
      <c r="CN33" s="158" t="n">
        <v>-6088.9529870753</v>
      </c>
      <c r="CO33" s="158" t="n">
        <v>-6088.9529870753</v>
      </c>
      <c r="CP33" s="158" t="n">
        <v>-6088.9529870753</v>
      </c>
      <c r="CQ33" s="158" t="n">
        <v>-6088.9529870753</v>
      </c>
      <c r="CR33" s="158" t="n">
        <v>-6088.9529870753</v>
      </c>
      <c r="CS33" s="158" t="n">
        <v>-6088.9529870753</v>
      </c>
      <c r="CT33" s="158" t="n">
        <v>-6088.9529870753</v>
      </c>
      <c r="CU33" s="158" t="n">
        <v>-6088.9529870753</v>
      </c>
      <c r="CV33" s="158" t="n">
        <v>-6088.9529870753</v>
      </c>
      <c r="CW33" s="158" t="n">
        <v>-6088.9529870753</v>
      </c>
      <c r="CX33" s="158" t="n">
        <v>-6210.73204681681</v>
      </c>
      <c r="CY33" s="158" t="n">
        <v>-6210.73204681681</v>
      </c>
      <c r="CZ33" s="158" t="n">
        <v>-6210.73204681681</v>
      </c>
      <c r="DA33" s="158" t="n">
        <v>-6210.73204681681</v>
      </c>
      <c r="DB33" s="158" t="n">
        <v>-6210.73204681681</v>
      </c>
      <c r="DC33" s="158" t="n">
        <v>-6210.73204681681</v>
      </c>
      <c r="DD33" s="158" t="n">
        <v>-6210.73204681681</v>
      </c>
      <c r="DE33" s="158" t="n">
        <v>-6210.73204681681</v>
      </c>
      <c r="DF33" s="158" t="n">
        <v>-6210.73204681681</v>
      </c>
    </row>
    <row r="34" customFormat="false" ht="15" hidden="false" customHeight="true" outlineLevel="0" collapsed="false">
      <c r="A34" s="90" t="s">
        <v>77</v>
      </c>
      <c r="C34" s="104" t="n">
        <v>0</v>
      </c>
      <c r="D34" s="104" t="n">
        <v>-1766.48</v>
      </c>
      <c r="E34" s="104" t="n">
        <v>-441.62</v>
      </c>
      <c r="F34" s="158" t="n">
        <v>-736.03</v>
      </c>
      <c r="G34" s="158" t="n">
        <v>-736.03</v>
      </c>
      <c r="H34" s="158" t="n">
        <v>-736.03</v>
      </c>
      <c r="I34" s="158" t="n">
        <v>-736.03</v>
      </c>
      <c r="J34" s="158" t="n">
        <v>-736.03</v>
      </c>
      <c r="K34" s="158" t="n">
        <v>-736.03</v>
      </c>
      <c r="L34" s="158" t="n">
        <v>-736.03</v>
      </c>
      <c r="M34" s="158" t="n">
        <v>-736.03</v>
      </c>
      <c r="N34" s="158" t="n">
        <v>-736.03</v>
      </c>
      <c r="O34" s="158" t="n">
        <v>-736.03</v>
      </c>
      <c r="P34" s="158" t="n">
        <v>-736.03</v>
      </c>
      <c r="Q34" s="158" t="n">
        <v>-736.03</v>
      </c>
      <c r="R34" s="158" t="n">
        <v>-750.7506</v>
      </c>
      <c r="S34" s="158" t="n">
        <v>-750.7506</v>
      </c>
      <c r="T34" s="158" t="n">
        <v>-750.7506</v>
      </c>
      <c r="U34" s="158" t="n">
        <v>-750.7506</v>
      </c>
      <c r="V34" s="158" t="n">
        <v>-750.7506</v>
      </c>
      <c r="W34" s="158" t="n">
        <v>-750.7506</v>
      </c>
      <c r="X34" s="158" t="n">
        <v>-750.7506</v>
      </c>
      <c r="Y34" s="158" t="n">
        <v>-750.7506</v>
      </c>
      <c r="Z34" s="158" t="n">
        <v>-750.7506</v>
      </c>
      <c r="AA34" s="158" t="n">
        <v>-750.7506</v>
      </c>
      <c r="AB34" s="158" t="n">
        <v>-750.7506</v>
      </c>
      <c r="AC34" s="158" t="n">
        <v>-750.7506</v>
      </c>
      <c r="AD34" s="158" t="n">
        <v>-765.765612</v>
      </c>
      <c r="AE34" s="158" t="n">
        <v>-765.765612</v>
      </c>
      <c r="AF34" s="158" t="n">
        <v>-765.765612</v>
      </c>
      <c r="AG34" s="158" t="n">
        <v>-765.765612</v>
      </c>
      <c r="AH34" s="158" t="n">
        <v>-765.765612</v>
      </c>
      <c r="AI34" s="158" t="n">
        <v>-765.765612</v>
      </c>
      <c r="AJ34" s="158" t="n">
        <v>-765.765612</v>
      </c>
      <c r="AK34" s="158" t="n">
        <v>-765.765612</v>
      </c>
      <c r="AL34" s="158" t="n">
        <v>-765.765612</v>
      </c>
      <c r="AM34" s="158" t="n">
        <v>-765.765612</v>
      </c>
      <c r="AN34" s="158" t="n">
        <v>-765.765612</v>
      </c>
      <c r="AO34" s="158" t="n">
        <v>-765.765612</v>
      </c>
      <c r="AP34" s="158" t="n">
        <v>-781.08092424</v>
      </c>
      <c r="AQ34" s="158" t="n">
        <v>-781.08092424</v>
      </c>
      <c r="AR34" s="158" t="n">
        <v>-781.08092424</v>
      </c>
      <c r="AS34" s="158" t="n">
        <v>-781.08092424</v>
      </c>
      <c r="AT34" s="158" t="n">
        <v>-781.08092424</v>
      </c>
      <c r="AU34" s="158" t="n">
        <v>-781.08092424</v>
      </c>
      <c r="AV34" s="158" t="n">
        <v>-781.08092424</v>
      </c>
      <c r="AW34" s="158" t="n">
        <v>-781.08092424</v>
      </c>
      <c r="AX34" s="158" t="n">
        <v>-781.08092424</v>
      </c>
      <c r="AY34" s="158" t="n">
        <v>-781.08092424</v>
      </c>
      <c r="AZ34" s="158" t="n">
        <v>-781.08092424</v>
      </c>
      <c r="BA34" s="158" t="n">
        <v>-781.08092424</v>
      </c>
      <c r="BB34" s="158" t="n">
        <v>-796.7025427248</v>
      </c>
      <c r="BC34" s="158" t="n">
        <v>-796.7025427248</v>
      </c>
      <c r="BD34" s="158" t="n">
        <v>-796.7025427248</v>
      </c>
      <c r="BE34" s="158" t="n">
        <v>-796.7025427248</v>
      </c>
      <c r="BF34" s="158" t="n">
        <v>-796.7025427248</v>
      </c>
      <c r="BG34" s="158" t="n">
        <v>-796.7025427248</v>
      </c>
      <c r="BH34" s="158" t="n">
        <v>-796.7025427248</v>
      </c>
      <c r="BI34" s="158" t="n">
        <v>-796.7025427248</v>
      </c>
      <c r="BJ34" s="158" t="n">
        <v>-796.7025427248</v>
      </c>
      <c r="BK34" s="158" t="n">
        <v>-796.7025427248</v>
      </c>
      <c r="BL34" s="158" t="n">
        <v>-796.7025427248</v>
      </c>
      <c r="BM34" s="158" t="n">
        <v>-796.7025427248</v>
      </c>
      <c r="BN34" s="158" t="n">
        <v>-812.636593579296</v>
      </c>
      <c r="BO34" s="158" t="n">
        <v>-812.636593579296</v>
      </c>
      <c r="BP34" s="158" t="n">
        <v>-812.636593579296</v>
      </c>
      <c r="BQ34" s="158" t="n">
        <v>-812.636593579296</v>
      </c>
      <c r="BR34" s="158" t="n">
        <v>-812.636593579296</v>
      </c>
      <c r="BS34" s="158" t="n">
        <v>-812.636593579296</v>
      </c>
      <c r="BT34" s="158" t="n">
        <v>-812.636593579296</v>
      </c>
      <c r="BU34" s="158" t="n">
        <v>-812.636593579296</v>
      </c>
      <c r="BV34" s="158" t="n">
        <v>-812.636593579296</v>
      </c>
      <c r="BW34" s="158" t="n">
        <v>-812.636593579296</v>
      </c>
      <c r="BX34" s="158" t="n">
        <v>-812.636593579296</v>
      </c>
      <c r="BY34" s="158" t="n">
        <v>-812.636593579296</v>
      </c>
      <c r="BZ34" s="158" t="n">
        <v>-828.889325450882</v>
      </c>
      <c r="CA34" s="158" t="n">
        <v>-828.889325450882</v>
      </c>
      <c r="CB34" s="158" t="n">
        <v>-828.889325450882</v>
      </c>
      <c r="CC34" s="158" t="n">
        <v>-828.889325450882</v>
      </c>
      <c r="CD34" s="158" t="n">
        <v>-828.889325450882</v>
      </c>
      <c r="CE34" s="158" t="n">
        <v>-828.889325450882</v>
      </c>
      <c r="CF34" s="158" t="n">
        <v>-828.889325450882</v>
      </c>
      <c r="CG34" s="158" t="n">
        <v>-828.889325450882</v>
      </c>
      <c r="CH34" s="158" t="n">
        <v>-828.889325450882</v>
      </c>
      <c r="CI34" s="158" t="n">
        <v>-828.889325450882</v>
      </c>
      <c r="CJ34" s="158" t="n">
        <v>-828.889325450882</v>
      </c>
      <c r="CK34" s="158" t="n">
        <v>-828.889325450882</v>
      </c>
      <c r="CL34" s="158" t="n">
        <v>-845.4671119599</v>
      </c>
      <c r="CM34" s="158" t="n">
        <v>-845.4671119599</v>
      </c>
      <c r="CN34" s="158" t="n">
        <v>-845.4671119599</v>
      </c>
      <c r="CO34" s="158" t="n">
        <v>-845.4671119599</v>
      </c>
      <c r="CP34" s="158" t="n">
        <v>-845.4671119599</v>
      </c>
      <c r="CQ34" s="158" t="n">
        <v>-845.4671119599</v>
      </c>
      <c r="CR34" s="158" t="n">
        <v>-845.4671119599</v>
      </c>
      <c r="CS34" s="158" t="n">
        <v>-845.4671119599</v>
      </c>
      <c r="CT34" s="158" t="n">
        <v>-845.4671119599</v>
      </c>
      <c r="CU34" s="158" t="n">
        <v>-845.4671119599</v>
      </c>
      <c r="CV34" s="158" t="n">
        <v>-845.4671119599</v>
      </c>
      <c r="CW34" s="158" t="n">
        <v>-845.4671119599</v>
      </c>
      <c r="CX34" s="158" t="n">
        <v>-862.376454199098</v>
      </c>
      <c r="CY34" s="158" t="n">
        <v>-862.376454199098</v>
      </c>
      <c r="CZ34" s="158" t="n">
        <v>-862.376454199098</v>
      </c>
      <c r="DA34" s="158" t="n">
        <v>-862.376454199098</v>
      </c>
      <c r="DB34" s="158" t="n">
        <v>-862.376454199098</v>
      </c>
      <c r="DC34" s="158" t="n">
        <v>-862.376454199098</v>
      </c>
      <c r="DD34" s="158" t="n">
        <v>-862.376454199098</v>
      </c>
      <c r="DE34" s="158" t="n">
        <v>-862.376454199098</v>
      </c>
      <c r="DF34" s="158" t="n">
        <v>-862.376454199098</v>
      </c>
    </row>
    <row r="35" customFormat="false" ht="15" hidden="false" customHeight="true" outlineLevel="0" collapsed="false">
      <c r="A35" s="90" t="s">
        <v>78</v>
      </c>
      <c r="C35" s="104" t="n">
        <v>-681.77</v>
      </c>
      <c r="D35" s="104" t="n">
        <v>-600.14</v>
      </c>
      <c r="E35" s="104" t="n">
        <v>-2121.95</v>
      </c>
      <c r="F35" s="158" t="n">
        <v>-1134.62</v>
      </c>
      <c r="G35" s="158" t="n">
        <v>-1134.62</v>
      </c>
      <c r="H35" s="158" t="n">
        <v>-1134.62</v>
      </c>
      <c r="I35" s="158" t="n">
        <v>-1134.62</v>
      </c>
      <c r="J35" s="158" t="n">
        <v>-1134.62</v>
      </c>
      <c r="K35" s="158" t="n">
        <v>-1134.62</v>
      </c>
      <c r="L35" s="158" t="n">
        <v>-1134.62</v>
      </c>
      <c r="M35" s="158" t="n">
        <v>-1134.62</v>
      </c>
      <c r="N35" s="158" t="n">
        <v>-1134.62</v>
      </c>
      <c r="O35" s="158" t="n">
        <v>-1134.62</v>
      </c>
      <c r="P35" s="158" t="n">
        <v>-1134.62</v>
      </c>
      <c r="Q35" s="158" t="n">
        <v>-1134.62</v>
      </c>
      <c r="R35" s="158" t="n">
        <v>-1157.3124</v>
      </c>
      <c r="S35" s="158" t="n">
        <v>-1157.3124</v>
      </c>
      <c r="T35" s="158" t="n">
        <v>-1157.3124</v>
      </c>
      <c r="U35" s="158" t="n">
        <v>-1157.3124</v>
      </c>
      <c r="V35" s="158" t="n">
        <v>-1157.3124</v>
      </c>
      <c r="W35" s="158" t="n">
        <v>-1157.3124</v>
      </c>
      <c r="X35" s="158" t="n">
        <v>-1157.3124</v>
      </c>
      <c r="Y35" s="158" t="n">
        <v>-1157.3124</v>
      </c>
      <c r="Z35" s="158" t="n">
        <v>-1157.3124</v>
      </c>
      <c r="AA35" s="158" t="n">
        <v>-1157.3124</v>
      </c>
      <c r="AB35" s="158" t="n">
        <v>-1157.3124</v>
      </c>
      <c r="AC35" s="158" t="n">
        <v>-1157.3124</v>
      </c>
      <c r="AD35" s="158" t="n">
        <v>-1180.458648</v>
      </c>
      <c r="AE35" s="158" t="n">
        <v>-1180.458648</v>
      </c>
      <c r="AF35" s="158" t="n">
        <v>-1180.458648</v>
      </c>
      <c r="AG35" s="158" t="n">
        <v>-1180.458648</v>
      </c>
      <c r="AH35" s="158" t="n">
        <v>-1180.458648</v>
      </c>
      <c r="AI35" s="158" t="n">
        <v>-1180.458648</v>
      </c>
      <c r="AJ35" s="158" t="n">
        <v>-1180.458648</v>
      </c>
      <c r="AK35" s="158" t="n">
        <v>-1180.458648</v>
      </c>
      <c r="AL35" s="158" t="n">
        <v>-1180.458648</v>
      </c>
      <c r="AM35" s="158" t="n">
        <v>-1180.458648</v>
      </c>
      <c r="AN35" s="158" t="n">
        <v>-1180.458648</v>
      </c>
      <c r="AO35" s="158" t="n">
        <v>-1180.458648</v>
      </c>
      <c r="AP35" s="158" t="n">
        <v>-1204.06782096</v>
      </c>
      <c r="AQ35" s="158" t="n">
        <v>-1204.06782096</v>
      </c>
      <c r="AR35" s="158" t="n">
        <v>-1204.06782096</v>
      </c>
      <c r="AS35" s="158" t="n">
        <v>-1204.06782096</v>
      </c>
      <c r="AT35" s="158" t="n">
        <v>-1204.06782096</v>
      </c>
      <c r="AU35" s="158" t="n">
        <v>-1204.06782096</v>
      </c>
      <c r="AV35" s="158" t="n">
        <v>-1204.06782096</v>
      </c>
      <c r="AW35" s="158" t="n">
        <v>-1204.06782096</v>
      </c>
      <c r="AX35" s="158" t="n">
        <v>-1204.06782096</v>
      </c>
      <c r="AY35" s="158" t="n">
        <v>-1204.06782096</v>
      </c>
      <c r="AZ35" s="158" t="n">
        <v>-1204.06782096</v>
      </c>
      <c r="BA35" s="158" t="n">
        <v>-1204.06782096</v>
      </c>
      <c r="BB35" s="158" t="n">
        <v>-1228.1491773792</v>
      </c>
      <c r="BC35" s="158" t="n">
        <v>-1228.1491773792</v>
      </c>
      <c r="BD35" s="158" t="n">
        <v>-1228.1491773792</v>
      </c>
      <c r="BE35" s="158" t="n">
        <v>-1228.1491773792</v>
      </c>
      <c r="BF35" s="158" t="n">
        <v>-1228.1491773792</v>
      </c>
      <c r="BG35" s="158" t="n">
        <v>-1228.1491773792</v>
      </c>
      <c r="BH35" s="158" t="n">
        <v>-1228.1491773792</v>
      </c>
      <c r="BI35" s="158" t="n">
        <v>-1228.1491773792</v>
      </c>
      <c r="BJ35" s="158" t="n">
        <v>-1228.1491773792</v>
      </c>
      <c r="BK35" s="158" t="n">
        <v>-1228.1491773792</v>
      </c>
      <c r="BL35" s="158" t="n">
        <v>-1228.1491773792</v>
      </c>
      <c r="BM35" s="158" t="n">
        <v>-1228.1491773792</v>
      </c>
      <c r="BN35" s="158" t="n">
        <v>-1252.71216092678</v>
      </c>
      <c r="BO35" s="158" t="n">
        <v>-1252.71216092678</v>
      </c>
      <c r="BP35" s="158" t="n">
        <v>-1252.71216092678</v>
      </c>
      <c r="BQ35" s="158" t="n">
        <v>-1252.71216092678</v>
      </c>
      <c r="BR35" s="158" t="n">
        <v>-1252.71216092678</v>
      </c>
      <c r="BS35" s="158" t="n">
        <v>-1252.71216092678</v>
      </c>
      <c r="BT35" s="158" t="n">
        <v>-1252.71216092678</v>
      </c>
      <c r="BU35" s="158" t="n">
        <v>-1252.71216092678</v>
      </c>
      <c r="BV35" s="158" t="n">
        <v>-1252.71216092678</v>
      </c>
      <c r="BW35" s="158" t="n">
        <v>-1252.71216092678</v>
      </c>
      <c r="BX35" s="158" t="n">
        <v>-1252.71216092678</v>
      </c>
      <c r="BY35" s="158" t="n">
        <v>-1252.71216092678</v>
      </c>
      <c r="BZ35" s="158" t="n">
        <v>-1277.76640414532</v>
      </c>
      <c r="CA35" s="158" t="n">
        <v>-1277.76640414532</v>
      </c>
      <c r="CB35" s="158" t="n">
        <v>-1277.76640414532</v>
      </c>
      <c r="CC35" s="158" t="n">
        <v>-1277.76640414532</v>
      </c>
      <c r="CD35" s="158" t="n">
        <v>-1277.76640414532</v>
      </c>
      <c r="CE35" s="158" t="n">
        <v>-1277.76640414532</v>
      </c>
      <c r="CF35" s="158" t="n">
        <v>-1277.76640414532</v>
      </c>
      <c r="CG35" s="158" t="n">
        <v>-1277.76640414532</v>
      </c>
      <c r="CH35" s="158" t="n">
        <v>-1277.76640414532</v>
      </c>
      <c r="CI35" s="158" t="n">
        <v>-1277.76640414532</v>
      </c>
      <c r="CJ35" s="158" t="n">
        <v>-1277.76640414532</v>
      </c>
      <c r="CK35" s="158" t="n">
        <v>-1277.76640414532</v>
      </c>
      <c r="CL35" s="158" t="n">
        <v>-1303.32173222823</v>
      </c>
      <c r="CM35" s="158" t="n">
        <v>-1303.32173222823</v>
      </c>
      <c r="CN35" s="158" t="n">
        <v>-1303.32173222823</v>
      </c>
      <c r="CO35" s="158" t="n">
        <v>-1303.32173222823</v>
      </c>
      <c r="CP35" s="158" t="n">
        <v>-1303.32173222823</v>
      </c>
      <c r="CQ35" s="158" t="n">
        <v>-1303.32173222823</v>
      </c>
      <c r="CR35" s="158" t="n">
        <v>-1303.32173222823</v>
      </c>
      <c r="CS35" s="158" t="n">
        <v>-1303.32173222823</v>
      </c>
      <c r="CT35" s="158" t="n">
        <v>-1303.32173222823</v>
      </c>
      <c r="CU35" s="158" t="n">
        <v>-1303.32173222823</v>
      </c>
      <c r="CV35" s="158" t="n">
        <v>-1303.32173222823</v>
      </c>
      <c r="CW35" s="158" t="n">
        <v>-1303.32173222823</v>
      </c>
      <c r="CX35" s="158" t="n">
        <v>-1329.38816687279</v>
      </c>
      <c r="CY35" s="158" t="n">
        <v>-1329.38816687279</v>
      </c>
      <c r="CZ35" s="158" t="n">
        <v>-1329.38816687279</v>
      </c>
      <c r="DA35" s="158" t="n">
        <v>-1329.38816687279</v>
      </c>
      <c r="DB35" s="158" t="n">
        <v>-1329.38816687279</v>
      </c>
      <c r="DC35" s="158" t="n">
        <v>-1329.38816687279</v>
      </c>
      <c r="DD35" s="158" t="n">
        <v>-1329.38816687279</v>
      </c>
      <c r="DE35" s="158" t="n">
        <v>-1329.38816687279</v>
      </c>
      <c r="DF35" s="158" t="n">
        <v>-1329.38816687279</v>
      </c>
    </row>
    <row r="36" customFormat="false" ht="15" hidden="false" customHeight="true" outlineLevel="0" collapsed="false">
      <c r="A36" s="90" t="s">
        <v>79</v>
      </c>
      <c r="C36" s="104" t="n">
        <v>-2187.5</v>
      </c>
      <c r="D36" s="104" t="n">
        <v>0</v>
      </c>
      <c r="E36" s="104" t="n">
        <v>-1625</v>
      </c>
      <c r="F36" s="158" t="n">
        <v>-1270.83</v>
      </c>
      <c r="G36" s="158" t="n">
        <v>-1270.83</v>
      </c>
      <c r="H36" s="158" t="n">
        <v>-1270.83</v>
      </c>
      <c r="I36" s="158" t="n">
        <v>-1270.83</v>
      </c>
      <c r="J36" s="158" t="n">
        <v>-1270.83</v>
      </c>
      <c r="K36" s="158" t="n">
        <v>-1270.83</v>
      </c>
      <c r="L36" s="158" t="n">
        <v>-1270.83</v>
      </c>
      <c r="M36" s="158" t="n">
        <v>-1270.83</v>
      </c>
      <c r="N36" s="158" t="n">
        <v>-1270.83</v>
      </c>
      <c r="O36" s="158" t="n">
        <v>-1270.83</v>
      </c>
      <c r="P36" s="158" t="n">
        <v>-1270.83</v>
      </c>
      <c r="Q36" s="158" t="n">
        <v>-1270.83</v>
      </c>
      <c r="R36" s="158" t="n">
        <v>-1296.2466</v>
      </c>
      <c r="S36" s="158" t="n">
        <v>-1296.2466</v>
      </c>
      <c r="T36" s="158" t="n">
        <v>-1296.2466</v>
      </c>
      <c r="U36" s="158" t="n">
        <v>-1296.2466</v>
      </c>
      <c r="V36" s="158" t="n">
        <v>-1296.2466</v>
      </c>
      <c r="W36" s="158" t="n">
        <v>-1296.2466</v>
      </c>
      <c r="X36" s="158" t="n">
        <v>-1296.2466</v>
      </c>
      <c r="Y36" s="158" t="n">
        <v>-1296.2466</v>
      </c>
      <c r="Z36" s="158" t="n">
        <v>-1296.2466</v>
      </c>
      <c r="AA36" s="158" t="n">
        <v>-1296.2466</v>
      </c>
      <c r="AB36" s="158" t="n">
        <v>-1296.2466</v>
      </c>
      <c r="AC36" s="158" t="n">
        <v>-1296.2466</v>
      </c>
      <c r="AD36" s="158" t="n">
        <v>-1322.171532</v>
      </c>
      <c r="AE36" s="158" t="n">
        <v>-1322.171532</v>
      </c>
      <c r="AF36" s="158" t="n">
        <v>-1322.171532</v>
      </c>
      <c r="AG36" s="158" t="n">
        <v>-1322.171532</v>
      </c>
      <c r="AH36" s="158" t="n">
        <v>-1322.171532</v>
      </c>
      <c r="AI36" s="158" t="n">
        <v>-1322.171532</v>
      </c>
      <c r="AJ36" s="158" t="n">
        <v>-1322.171532</v>
      </c>
      <c r="AK36" s="158" t="n">
        <v>-1322.171532</v>
      </c>
      <c r="AL36" s="158" t="n">
        <v>-1322.171532</v>
      </c>
      <c r="AM36" s="158" t="n">
        <v>-1322.171532</v>
      </c>
      <c r="AN36" s="158" t="n">
        <v>-1322.171532</v>
      </c>
      <c r="AO36" s="158" t="n">
        <v>-1322.171532</v>
      </c>
      <c r="AP36" s="158" t="n">
        <v>-1348.61496264</v>
      </c>
      <c r="AQ36" s="158" t="n">
        <v>-1348.61496264</v>
      </c>
      <c r="AR36" s="158" t="n">
        <v>-1348.61496264</v>
      </c>
      <c r="AS36" s="158" t="n">
        <v>-1348.61496264</v>
      </c>
      <c r="AT36" s="158" t="n">
        <v>-1348.61496264</v>
      </c>
      <c r="AU36" s="158" t="n">
        <v>-1348.61496264</v>
      </c>
      <c r="AV36" s="158" t="n">
        <v>-1348.61496264</v>
      </c>
      <c r="AW36" s="158" t="n">
        <v>-1348.61496264</v>
      </c>
      <c r="AX36" s="158" t="n">
        <v>-1348.61496264</v>
      </c>
      <c r="AY36" s="158" t="n">
        <v>-1348.61496264</v>
      </c>
      <c r="AZ36" s="158" t="n">
        <v>-1348.61496264</v>
      </c>
      <c r="BA36" s="158" t="n">
        <v>-1348.61496264</v>
      </c>
      <c r="BB36" s="158" t="n">
        <v>-1375.5872618928</v>
      </c>
      <c r="BC36" s="158" t="n">
        <v>-1375.5872618928</v>
      </c>
      <c r="BD36" s="158" t="n">
        <v>-1375.5872618928</v>
      </c>
      <c r="BE36" s="158" t="n">
        <v>-1375.5872618928</v>
      </c>
      <c r="BF36" s="158" t="n">
        <v>-1375.5872618928</v>
      </c>
      <c r="BG36" s="158" t="n">
        <v>-1375.5872618928</v>
      </c>
      <c r="BH36" s="158" t="n">
        <v>-1375.5872618928</v>
      </c>
      <c r="BI36" s="158" t="n">
        <v>-1375.5872618928</v>
      </c>
      <c r="BJ36" s="158" t="n">
        <v>-1375.5872618928</v>
      </c>
      <c r="BK36" s="158" t="n">
        <v>-1375.5872618928</v>
      </c>
      <c r="BL36" s="158" t="n">
        <v>-1375.5872618928</v>
      </c>
      <c r="BM36" s="158" t="n">
        <v>-1375.5872618928</v>
      </c>
      <c r="BN36" s="158" t="n">
        <v>-1403.09900713066</v>
      </c>
      <c r="BO36" s="158" t="n">
        <v>-1403.09900713066</v>
      </c>
      <c r="BP36" s="158" t="n">
        <v>-1403.09900713066</v>
      </c>
      <c r="BQ36" s="158" t="n">
        <v>-1403.09900713066</v>
      </c>
      <c r="BR36" s="158" t="n">
        <v>-1403.09900713066</v>
      </c>
      <c r="BS36" s="158" t="n">
        <v>-1403.09900713066</v>
      </c>
      <c r="BT36" s="158" t="n">
        <v>-1403.09900713066</v>
      </c>
      <c r="BU36" s="158" t="n">
        <v>-1403.09900713066</v>
      </c>
      <c r="BV36" s="158" t="n">
        <v>-1403.09900713066</v>
      </c>
      <c r="BW36" s="158" t="n">
        <v>-1403.09900713066</v>
      </c>
      <c r="BX36" s="158" t="n">
        <v>-1403.09900713066</v>
      </c>
      <c r="BY36" s="158" t="n">
        <v>-1403.09900713066</v>
      </c>
      <c r="BZ36" s="158" t="n">
        <v>-1431.16098727327</v>
      </c>
      <c r="CA36" s="158" t="n">
        <v>-1431.16098727327</v>
      </c>
      <c r="CB36" s="158" t="n">
        <v>-1431.16098727327</v>
      </c>
      <c r="CC36" s="158" t="n">
        <v>-1431.16098727327</v>
      </c>
      <c r="CD36" s="158" t="n">
        <v>-1431.16098727327</v>
      </c>
      <c r="CE36" s="158" t="n">
        <v>-1431.16098727327</v>
      </c>
      <c r="CF36" s="158" t="n">
        <v>-1431.16098727327</v>
      </c>
      <c r="CG36" s="158" t="n">
        <v>-1431.16098727327</v>
      </c>
      <c r="CH36" s="158" t="n">
        <v>-1431.16098727327</v>
      </c>
      <c r="CI36" s="158" t="n">
        <v>-1431.16098727327</v>
      </c>
      <c r="CJ36" s="158" t="n">
        <v>-1431.16098727327</v>
      </c>
      <c r="CK36" s="158" t="n">
        <v>-1431.16098727327</v>
      </c>
      <c r="CL36" s="158" t="n">
        <v>-1459.78420701873</v>
      </c>
      <c r="CM36" s="158" t="n">
        <v>-1459.78420701873</v>
      </c>
      <c r="CN36" s="158" t="n">
        <v>-1459.78420701873</v>
      </c>
      <c r="CO36" s="158" t="n">
        <v>-1459.78420701873</v>
      </c>
      <c r="CP36" s="158" t="n">
        <v>-1459.78420701873</v>
      </c>
      <c r="CQ36" s="158" t="n">
        <v>-1459.78420701873</v>
      </c>
      <c r="CR36" s="158" t="n">
        <v>-1459.78420701873</v>
      </c>
      <c r="CS36" s="158" t="n">
        <v>-1459.78420701873</v>
      </c>
      <c r="CT36" s="158" t="n">
        <v>-1459.78420701873</v>
      </c>
      <c r="CU36" s="158" t="n">
        <v>-1459.78420701873</v>
      </c>
      <c r="CV36" s="158" t="n">
        <v>-1459.78420701873</v>
      </c>
      <c r="CW36" s="158" t="n">
        <v>-1459.78420701873</v>
      </c>
      <c r="CX36" s="158" t="n">
        <v>-1488.97989115911</v>
      </c>
      <c r="CY36" s="158" t="n">
        <v>-1488.97989115911</v>
      </c>
      <c r="CZ36" s="158" t="n">
        <v>-1488.97989115911</v>
      </c>
      <c r="DA36" s="158" t="n">
        <v>-1488.97989115911</v>
      </c>
      <c r="DB36" s="158" t="n">
        <v>-1488.97989115911</v>
      </c>
      <c r="DC36" s="158" t="n">
        <v>-1488.97989115911</v>
      </c>
      <c r="DD36" s="158" t="n">
        <v>-1488.97989115911</v>
      </c>
      <c r="DE36" s="158" t="n">
        <v>-1488.97989115911</v>
      </c>
      <c r="DF36" s="158" t="n">
        <v>-1488.97989115911</v>
      </c>
    </row>
    <row r="37" customFormat="false" ht="15" hidden="false" customHeight="true" outlineLevel="0" collapsed="false">
      <c r="A37" s="90" t="s">
        <v>80</v>
      </c>
      <c r="C37" s="104" t="n">
        <v>0</v>
      </c>
      <c r="D37" s="104" t="n">
        <v>-12349</v>
      </c>
      <c r="E37" s="104" t="n">
        <v>-5400</v>
      </c>
      <c r="F37" s="158" t="n">
        <v>-5916.33</v>
      </c>
      <c r="G37" s="158" t="n">
        <v>-5916.33</v>
      </c>
      <c r="H37" s="158" t="n">
        <v>-5916.33</v>
      </c>
      <c r="I37" s="158" t="n">
        <v>-5916.33</v>
      </c>
      <c r="J37" s="158" t="n">
        <v>-5916.33</v>
      </c>
      <c r="K37" s="158" t="n">
        <v>-5916.33</v>
      </c>
      <c r="L37" s="158" t="n">
        <v>-5916.33</v>
      </c>
      <c r="M37" s="158" t="n">
        <v>-5916.33</v>
      </c>
      <c r="N37" s="158" t="n">
        <v>-5916.33</v>
      </c>
      <c r="O37" s="158" t="n">
        <v>-5916.33</v>
      </c>
      <c r="P37" s="158" t="n">
        <v>-5916.33</v>
      </c>
      <c r="Q37" s="158" t="n">
        <v>-5916.33</v>
      </c>
      <c r="R37" s="158" t="n">
        <v>-6034.6566</v>
      </c>
      <c r="S37" s="158" t="n">
        <v>-6034.6566</v>
      </c>
      <c r="T37" s="158" t="n">
        <v>-6034.6566</v>
      </c>
      <c r="U37" s="158" t="n">
        <v>-6034.6566</v>
      </c>
      <c r="V37" s="158" t="n">
        <v>-6034.6566</v>
      </c>
      <c r="W37" s="158" t="n">
        <v>-6034.6566</v>
      </c>
      <c r="X37" s="158" t="n">
        <v>-6034.6566</v>
      </c>
      <c r="Y37" s="158" t="n">
        <v>-6034.6566</v>
      </c>
      <c r="Z37" s="158" t="n">
        <v>-6034.6566</v>
      </c>
      <c r="AA37" s="158" t="n">
        <v>-6034.6566</v>
      </c>
      <c r="AB37" s="158" t="n">
        <v>-6034.6566</v>
      </c>
      <c r="AC37" s="158" t="n">
        <v>-6034.6566</v>
      </c>
      <c r="AD37" s="158" t="n">
        <v>-6155.349732</v>
      </c>
      <c r="AE37" s="158" t="n">
        <v>-6155.349732</v>
      </c>
      <c r="AF37" s="158" t="n">
        <v>-6155.349732</v>
      </c>
      <c r="AG37" s="158" t="n">
        <v>-6155.349732</v>
      </c>
      <c r="AH37" s="158" t="n">
        <v>-6155.349732</v>
      </c>
      <c r="AI37" s="158" t="n">
        <v>-6155.349732</v>
      </c>
      <c r="AJ37" s="158" t="n">
        <v>-6155.349732</v>
      </c>
      <c r="AK37" s="158" t="n">
        <v>-6155.349732</v>
      </c>
      <c r="AL37" s="158" t="n">
        <v>-6155.349732</v>
      </c>
      <c r="AM37" s="158" t="n">
        <v>-6155.349732</v>
      </c>
      <c r="AN37" s="158" t="n">
        <v>-6155.349732</v>
      </c>
      <c r="AO37" s="158" t="n">
        <v>-6155.349732</v>
      </c>
      <c r="AP37" s="158" t="n">
        <v>-6278.45672664</v>
      </c>
      <c r="AQ37" s="158" t="n">
        <v>-6278.45672664</v>
      </c>
      <c r="AR37" s="158" t="n">
        <v>-6278.45672664</v>
      </c>
      <c r="AS37" s="158" t="n">
        <v>-6278.45672664</v>
      </c>
      <c r="AT37" s="158" t="n">
        <v>-6278.45672664</v>
      </c>
      <c r="AU37" s="158" t="n">
        <v>-6278.45672664</v>
      </c>
      <c r="AV37" s="158" t="n">
        <v>-6278.45672664</v>
      </c>
      <c r="AW37" s="158" t="n">
        <v>-6278.45672664</v>
      </c>
      <c r="AX37" s="158" t="n">
        <v>-6278.45672664</v>
      </c>
      <c r="AY37" s="158" t="n">
        <v>-6278.45672664</v>
      </c>
      <c r="AZ37" s="158" t="n">
        <v>-6278.45672664</v>
      </c>
      <c r="BA37" s="158" t="n">
        <v>-6278.45672664</v>
      </c>
      <c r="BB37" s="158" t="n">
        <v>-6404.0258611728</v>
      </c>
      <c r="BC37" s="158" t="n">
        <v>-6404.0258611728</v>
      </c>
      <c r="BD37" s="158" t="n">
        <v>-6404.0258611728</v>
      </c>
      <c r="BE37" s="158" t="n">
        <v>-6404.0258611728</v>
      </c>
      <c r="BF37" s="158" t="n">
        <v>-6404.0258611728</v>
      </c>
      <c r="BG37" s="158" t="n">
        <v>-6404.0258611728</v>
      </c>
      <c r="BH37" s="158" t="n">
        <v>-6404.0258611728</v>
      </c>
      <c r="BI37" s="158" t="n">
        <v>-6404.0258611728</v>
      </c>
      <c r="BJ37" s="158" t="n">
        <v>-6404.0258611728</v>
      </c>
      <c r="BK37" s="158" t="n">
        <v>-6404.0258611728</v>
      </c>
      <c r="BL37" s="158" t="n">
        <v>-6404.0258611728</v>
      </c>
      <c r="BM37" s="158" t="n">
        <v>-6404.0258611728</v>
      </c>
      <c r="BN37" s="158" t="n">
        <v>-6532.10637839626</v>
      </c>
      <c r="BO37" s="158" t="n">
        <v>-6532.10637839626</v>
      </c>
      <c r="BP37" s="158" t="n">
        <v>-6532.10637839626</v>
      </c>
      <c r="BQ37" s="158" t="n">
        <v>-6532.10637839626</v>
      </c>
      <c r="BR37" s="158" t="n">
        <v>-6532.10637839626</v>
      </c>
      <c r="BS37" s="158" t="n">
        <v>-6532.10637839626</v>
      </c>
      <c r="BT37" s="158" t="n">
        <v>-6532.10637839626</v>
      </c>
      <c r="BU37" s="158" t="n">
        <v>-6532.10637839626</v>
      </c>
      <c r="BV37" s="158" t="n">
        <v>-6532.10637839626</v>
      </c>
      <c r="BW37" s="158" t="n">
        <v>-6532.10637839626</v>
      </c>
      <c r="BX37" s="158" t="n">
        <v>-6532.10637839626</v>
      </c>
      <c r="BY37" s="158" t="n">
        <v>-6532.10637839626</v>
      </c>
      <c r="BZ37" s="158" t="n">
        <v>-6662.74850596418</v>
      </c>
      <c r="CA37" s="158" t="n">
        <v>-6662.74850596418</v>
      </c>
      <c r="CB37" s="158" t="n">
        <v>-6662.74850596418</v>
      </c>
      <c r="CC37" s="158" t="n">
        <v>-6662.74850596418</v>
      </c>
      <c r="CD37" s="158" t="n">
        <v>-6662.74850596418</v>
      </c>
      <c r="CE37" s="158" t="n">
        <v>-6662.74850596418</v>
      </c>
      <c r="CF37" s="158" t="n">
        <v>-6662.74850596418</v>
      </c>
      <c r="CG37" s="158" t="n">
        <v>-6662.74850596418</v>
      </c>
      <c r="CH37" s="158" t="n">
        <v>-6662.74850596418</v>
      </c>
      <c r="CI37" s="158" t="n">
        <v>-6662.74850596418</v>
      </c>
      <c r="CJ37" s="158" t="n">
        <v>-6662.74850596418</v>
      </c>
      <c r="CK37" s="158" t="n">
        <v>-6662.74850596418</v>
      </c>
      <c r="CL37" s="158" t="n">
        <v>-6796.00347608347</v>
      </c>
      <c r="CM37" s="158" t="n">
        <v>-6796.00347608347</v>
      </c>
      <c r="CN37" s="158" t="n">
        <v>-6796.00347608347</v>
      </c>
      <c r="CO37" s="158" t="n">
        <v>-6796.00347608347</v>
      </c>
      <c r="CP37" s="158" t="n">
        <v>-6796.00347608347</v>
      </c>
      <c r="CQ37" s="158" t="n">
        <v>-6796.00347608347</v>
      </c>
      <c r="CR37" s="158" t="n">
        <v>-6796.00347608347</v>
      </c>
      <c r="CS37" s="158" t="n">
        <v>-6796.00347608347</v>
      </c>
      <c r="CT37" s="158" t="n">
        <v>-6796.00347608347</v>
      </c>
      <c r="CU37" s="158" t="n">
        <v>-6796.00347608347</v>
      </c>
      <c r="CV37" s="158" t="n">
        <v>-6796.00347608347</v>
      </c>
      <c r="CW37" s="158" t="n">
        <v>-6796.00347608347</v>
      </c>
      <c r="CX37" s="158" t="n">
        <v>-6931.92354560514</v>
      </c>
      <c r="CY37" s="158" t="n">
        <v>-6931.92354560514</v>
      </c>
      <c r="CZ37" s="158" t="n">
        <v>-6931.92354560514</v>
      </c>
      <c r="DA37" s="158" t="n">
        <v>-6931.92354560514</v>
      </c>
      <c r="DB37" s="158" t="n">
        <v>-6931.92354560514</v>
      </c>
      <c r="DC37" s="158" t="n">
        <v>-6931.92354560514</v>
      </c>
      <c r="DD37" s="158" t="n">
        <v>-6931.92354560514</v>
      </c>
      <c r="DE37" s="158" t="n">
        <v>-6931.92354560514</v>
      </c>
      <c r="DF37" s="158" t="n">
        <v>-6931.92354560514</v>
      </c>
    </row>
    <row r="38" customFormat="false" ht="15" hidden="false" customHeight="true" outlineLevel="0" collapsed="false">
      <c r="A38" s="90" t="s">
        <v>81</v>
      </c>
      <c r="C38" s="104" t="n">
        <v>0</v>
      </c>
      <c r="D38" s="104" t="n">
        <v>0</v>
      </c>
      <c r="E38" s="104" t="n">
        <v>-750.4</v>
      </c>
      <c r="F38" s="158" t="n">
        <v>-250.13</v>
      </c>
      <c r="G38" s="158" t="n">
        <v>-250.13</v>
      </c>
      <c r="H38" s="158" t="n">
        <v>-250.13</v>
      </c>
      <c r="I38" s="158" t="n">
        <v>-250.13</v>
      </c>
      <c r="J38" s="158" t="n">
        <v>-250.13</v>
      </c>
      <c r="K38" s="158" t="n">
        <v>-250.13</v>
      </c>
      <c r="L38" s="158" t="n">
        <v>-250.13</v>
      </c>
      <c r="M38" s="158" t="n">
        <v>-250.13</v>
      </c>
      <c r="N38" s="158" t="n">
        <v>-250.13</v>
      </c>
      <c r="O38" s="158" t="n">
        <v>-250.13</v>
      </c>
      <c r="P38" s="158" t="n">
        <v>-250.13</v>
      </c>
      <c r="Q38" s="158" t="n">
        <v>-250.13</v>
      </c>
      <c r="R38" s="158" t="n">
        <v>-255.1326</v>
      </c>
      <c r="S38" s="158" t="n">
        <v>-255.1326</v>
      </c>
      <c r="T38" s="158" t="n">
        <v>-255.1326</v>
      </c>
      <c r="U38" s="158" t="n">
        <v>-255.1326</v>
      </c>
      <c r="V38" s="158" t="n">
        <v>-255.1326</v>
      </c>
      <c r="W38" s="158" t="n">
        <v>-255.1326</v>
      </c>
      <c r="X38" s="158" t="n">
        <v>-255.1326</v>
      </c>
      <c r="Y38" s="158" t="n">
        <v>-255.1326</v>
      </c>
      <c r="Z38" s="158" t="n">
        <v>-255.1326</v>
      </c>
      <c r="AA38" s="158" t="n">
        <v>-255.1326</v>
      </c>
      <c r="AB38" s="158" t="n">
        <v>-255.1326</v>
      </c>
      <c r="AC38" s="158" t="n">
        <v>-255.1326</v>
      </c>
      <c r="AD38" s="158" t="n">
        <v>-260.235252</v>
      </c>
      <c r="AE38" s="158" t="n">
        <v>-260.235252</v>
      </c>
      <c r="AF38" s="158" t="n">
        <v>-260.235252</v>
      </c>
      <c r="AG38" s="158" t="n">
        <v>-260.235252</v>
      </c>
      <c r="AH38" s="158" t="n">
        <v>-260.235252</v>
      </c>
      <c r="AI38" s="158" t="n">
        <v>-260.235252</v>
      </c>
      <c r="AJ38" s="158" t="n">
        <v>-260.235252</v>
      </c>
      <c r="AK38" s="158" t="n">
        <v>-260.235252</v>
      </c>
      <c r="AL38" s="158" t="n">
        <v>-260.235252</v>
      </c>
      <c r="AM38" s="158" t="n">
        <v>-260.235252</v>
      </c>
      <c r="AN38" s="158" t="n">
        <v>-260.235252</v>
      </c>
      <c r="AO38" s="158" t="n">
        <v>-260.235252</v>
      </c>
      <c r="AP38" s="158" t="n">
        <v>-265.43995704</v>
      </c>
      <c r="AQ38" s="158" t="n">
        <v>-265.43995704</v>
      </c>
      <c r="AR38" s="158" t="n">
        <v>-265.43995704</v>
      </c>
      <c r="AS38" s="158" t="n">
        <v>-265.43995704</v>
      </c>
      <c r="AT38" s="158" t="n">
        <v>-265.43995704</v>
      </c>
      <c r="AU38" s="158" t="n">
        <v>-265.43995704</v>
      </c>
      <c r="AV38" s="158" t="n">
        <v>-265.43995704</v>
      </c>
      <c r="AW38" s="158" t="n">
        <v>-265.43995704</v>
      </c>
      <c r="AX38" s="158" t="n">
        <v>-265.43995704</v>
      </c>
      <c r="AY38" s="158" t="n">
        <v>-265.43995704</v>
      </c>
      <c r="AZ38" s="158" t="n">
        <v>-265.43995704</v>
      </c>
      <c r="BA38" s="158" t="n">
        <v>-265.43995704</v>
      </c>
      <c r="BB38" s="158" t="n">
        <v>-270.7487561808</v>
      </c>
      <c r="BC38" s="158" t="n">
        <v>-270.7487561808</v>
      </c>
      <c r="BD38" s="158" t="n">
        <v>-270.7487561808</v>
      </c>
      <c r="BE38" s="158" t="n">
        <v>-270.7487561808</v>
      </c>
      <c r="BF38" s="158" t="n">
        <v>-270.7487561808</v>
      </c>
      <c r="BG38" s="158" t="n">
        <v>-270.7487561808</v>
      </c>
      <c r="BH38" s="158" t="n">
        <v>-270.7487561808</v>
      </c>
      <c r="BI38" s="158" t="n">
        <v>-270.7487561808</v>
      </c>
      <c r="BJ38" s="158" t="n">
        <v>-270.7487561808</v>
      </c>
      <c r="BK38" s="158" t="n">
        <v>-270.7487561808</v>
      </c>
      <c r="BL38" s="158" t="n">
        <v>-270.7487561808</v>
      </c>
      <c r="BM38" s="158" t="n">
        <v>-270.7487561808</v>
      </c>
      <c r="BN38" s="158" t="n">
        <v>-276.163731304416</v>
      </c>
      <c r="BO38" s="158" t="n">
        <v>-276.163731304416</v>
      </c>
      <c r="BP38" s="158" t="n">
        <v>-276.163731304416</v>
      </c>
      <c r="BQ38" s="158" t="n">
        <v>-276.163731304416</v>
      </c>
      <c r="BR38" s="158" t="n">
        <v>-276.163731304416</v>
      </c>
      <c r="BS38" s="158" t="n">
        <v>-276.163731304416</v>
      </c>
      <c r="BT38" s="158" t="n">
        <v>-276.163731304416</v>
      </c>
      <c r="BU38" s="158" t="n">
        <v>-276.163731304416</v>
      </c>
      <c r="BV38" s="158" t="n">
        <v>-276.163731304416</v>
      </c>
      <c r="BW38" s="158" t="n">
        <v>-276.163731304416</v>
      </c>
      <c r="BX38" s="158" t="n">
        <v>-276.163731304416</v>
      </c>
      <c r="BY38" s="158" t="n">
        <v>-276.163731304416</v>
      </c>
      <c r="BZ38" s="158" t="n">
        <v>-281.687005930504</v>
      </c>
      <c r="CA38" s="158" t="n">
        <v>-281.687005930504</v>
      </c>
      <c r="CB38" s="158" t="n">
        <v>-281.687005930504</v>
      </c>
      <c r="CC38" s="158" t="n">
        <v>-281.687005930504</v>
      </c>
      <c r="CD38" s="158" t="n">
        <v>-281.687005930504</v>
      </c>
      <c r="CE38" s="158" t="n">
        <v>-281.687005930504</v>
      </c>
      <c r="CF38" s="158" t="n">
        <v>-281.687005930504</v>
      </c>
      <c r="CG38" s="158" t="n">
        <v>-281.687005930504</v>
      </c>
      <c r="CH38" s="158" t="n">
        <v>-281.687005930504</v>
      </c>
      <c r="CI38" s="158" t="n">
        <v>-281.687005930504</v>
      </c>
      <c r="CJ38" s="158" t="n">
        <v>-281.687005930504</v>
      </c>
      <c r="CK38" s="158" t="n">
        <v>-281.687005930504</v>
      </c>
      <c r="CL38" s="158" t="n">
        <v>-287.320746049114</v>
      </c>
      <c r="CM38" s="158" t="n">
        <v>-287.320746049114</v>
      </c>
      <c r="CN38" s="158" t="n">
        <v>-287.320746049114</v>
      </c>
      <c r="CO38" s="158" t="n">
        <v>-287.320746049114</v>
      </c>
      <c r="CP38" s="158" t="n">
        <v>-287.320746049114</v>
      </c>
      <c r="CQ38" s="158" t="n">
        <v>-287.320746049114</v>
      </c>
      <c r="CR38" s="158" t="n">
        <v>-287.320746049114</v>
      </c>
      <c r="CS38" s="158" t="n">
        <v>-287.320746049114</v>
      </c>
      <c r="CT38" s="158" t="n">
        <v>-287.320746049114</v>
      </c>
      <c r="CU38" s="158" t="n">
        <v>-287.320746049114</v>
      </c>
      <c r="CV38" s="158" t="n">
        <v>-287.320746049114</v>
      </c>
      <c r="CW38" s="158" t="n">
        <v>-287.320746049114</v>
      </c>
      <c r="CX38" s="158" t="n">
        <v>-293.067160970097</v>
      </c>
      <c r="CY38" s="158" t="n">
        <v>-293.067160970097</v>
      </c>
      <c r="CZ38" s="158" t="n">
        <v>-293.067160970097</v>
      </c>
      <c r="DA38" s="158" t="n">
        <v>-293.067160970097</v>
      </c>
      <c r="DB38" s="158" t="n">
        <v>-293.067160970097</v>
      </c>
      <c r="DC38" s="158" t="n">
        <v>-293.067160970097</v>
      </c>
      <c r="DD38" s="158" t="n">
        <v>-293.067160970097</v>
      </c>
      <c r="DE38" s="158" t="n">
        <v>-293.067160970097</v>
      </c>
      <c r="DF38" s="158" t="n">
        <v>-293.067160970097</v>
      </c>
    </row>
    <row r="39" customFormat="false" ht="15" hidden="false" customHeight="true" outlineLevel="0" collapsed="false">
      <c r="A39" s="90" t="s">
        <v>82</v>
      </c>
      <c r="C39" s="104" t="n">
        <v>-1474.63</v>
      </c>
      <c r="D39" s="104" t="n">
        <v>-1449.33</v>
      </c>
      <c r="E39" s="104" t="n">
        <v>-2328.76</v>
      </c>
      <c r="F39" s="158" t="n">
        <v>-1750.91</v>
      </c>
      <c r="G39" s="158" t="n">
        <v>-1750.91</v>
      </c>
      <c r="H39" s="158" t="n">
        <v>-1750.91</v>
      </c>
      <c r="I39" s="158" t="n">
        <v>-1750.91</v>
      </c>
      <c r="J39" s="158" t="n">
        <v>-1750.91</v>
      </c>
      <c r="K39" s="158" t="n">
        <v>-1750.91</v>
      </c>
      <c r="L39" s="158" t="n">
        <v>-1750.91</v>
      </c>
      <c r="M39" s="158" t="n">
        <v>-1750.91</v>
      </c>
      <c r="N39" s="158" t="n">
        <v>-1750.91</v>
      </c>
      <c r="O39" s="158" t="n">
        <v>-1750.91</v>
      </c>
      <c r="P39" s="158" t="n">
        <v>-1750.91</v>
      </c>
      <c r="Q39" s="158" t="n">
        <v>-1750.91</v>
      </c>
      <c r="R39" s="158" t="n">
        <v>-1785.9282</v>
      </c>
      <c r="S39" s="158" t="n">
        <v>-1785.9282</v>
      </c>
      <c r="T39" s="158" t="n">
        <v>-1785.9282</v>
      </c>
      <c r="U39" s="158" t="n">
        <v>-1785.9282</v>
      </c>
      <c r="V39" s="158" t="n">
        <v>-1785.9282</v>
      </c>
      <c r="W39" s="158" t="n">
        <v>-1785.9282</v>
      </c>
      <c r="X39" s="158" t="n">
        <v>-1785.9282</v>
      </c>
      <c r="Y39" s="158" t="n">
        <v>-1785.9282</v>
      </c>
      <c r="Z39" s="158" t="n">
        <v>-1785.9282</v>
      </c>
      <c r="AA39" s="158" t="n">
        <v>-1785.9282</v>
      </c>
      <c r="AB39" s="158" t="n">
        <v>-1785.9282</v>
      </c>
      <c r="AC39" s="158" t="n">
        <v>-1785.9282</v>
      </c>
      <c r="AD39" s="158" t="n">
        <v>-1821.646764</v>
      </c>
      <c r="AE39" s="158" t="n">
        <v>-1821.646764</v>
      </c>
      <c r="AF39" s="158" t="n">
        <v>-1821.646764</v>
      </c>
      <c r="AG39" s="158" t="n">
        <v>-1821.646764</v>
      </c>
      <c r="AH39" s="158" t="n">
        <v>-1821.646764</v>
      </c>
      <c r="AI39" s="158" t="n">
        <v>-1821.646764</v>
      </c>
      <c r="AJ39" s="158" t="n">
        <v>-1821.646764</v>
      </c>
      <c r="AK39" s="158" t="n">
        <v>-1821.646764</v>
      </c>
      <c r="AL39" s="158" t="n">
        <v>-1821.646764</v>
      </c>
      <c r="AM39" s="158" t="n">
        <v>-1821.646764</v>
      </c>
      <c r="AN39" s="158" t="n">
        <v>-1821.646764</v>
      </c>
      <c r="AO39" s="158" t="n">
        <v>-1821.646764</v>
      </c>
      <c r="AP39" s="158" t="n">
        <v>-1858.07969928</v>
      </c>
      <c r="AQ39" s="158" t="n">
        <v>-1858.07969928</v>
      </c>
      <c r="AR39" s="158" t="n">
        <v>-1858.07969928</v>
      </c>
      <c r="AS39" s="158" t="n">
        <v>-1858.07969928</v>
      </c>
      <c r="AT39" s="158" t="n">
        <v>-1858.07969928</v>
      </c>
      <c r="AU39" s="158" t="n">
        <v>-1858.07969928</v>
      </c>
      <c r="AV39" s="158" t="n">
        <v>-1858.07969928</v>
      </c>
      <c r="AW39" s="158" t="n">
        <v>-1858.07969928</v>
      </c>
      <c r="AX39" s="158" t="n">
        <v>-1858.07969928</v>
      </c>
      <c r="AY39" s="158" t="n">
        <v>-1858.07969928</v>
      </c>
      <c r="AZ39" s="158" t="n">
        <v>-1858.07969928</v>
      </c>
      <c r="BA39" s="158" t="n">
        <v>-1858.07969928</v>
      </c>
      <c r="BB39" s="158" t="n">
        <v>-1895.2412932656</v>
      </c>
      <c r="BC39" s="158" t="n">
        <v>-1895.2412932656</v>
      </c>
      <c r="BD39" s="158" t="n">
        <v>-1895.2412932656</v>
      </c>
      <c r="BE39" s="158" t="n">
        <v>-1895.2412932656</v>
      </c>
      <c r="BF39" s="158" t="n">
        <v>-1895.2412932656</v>
      </c>
      <c r="BG39" s="158" t="n">
        <v>-1895.2412932656</v>
      </c>
      <c r="BH39" s="158" t="n">
        <v>-1895.2412932656</v>
      </c>
      <c r="BI39" s="158" t="n">
        <v>-1895.2412932656</v>
      </c>
      <c r="BJ39" s="158" t="n">
        <v>-1895.2412932656</v>
      </c>
      <c r="BK39" s="158" t="n">
        <v>-1895.2412932656</v>
      </c>
      <c r="BL39" s="158" t="n">
        <v>-1895.2412932656</v>
      </c>
      <c r="BM39" s="158" t="n">
        <v>-1895.2412932656</v>
      </c>
      <c r="BN39" s="158" t="n">
        <v>-1933.14611913091</v>
      </c>
      <c r="BO39" s="158" t="n">
        <v>-1933.14611913091</v>
      </c>
      <c r="BP39" s="158" t="n">
        <v>-1933.14611913091</v>
      </c>
      <c r="BQ39" s="158" t="n">
        <v>-1933.14611913091</v>
      </c>
      <c r="BR39" s="158" t="n">
        <v>-1933.14611913091</v>
      </c>
      <c r="BS39" s="158" t="n">
        <v>-1933.14611913091</v>
      </c>
      <c r="BT39" s="158" t="n">
        <v>-1933.14611913091</v>
      </c>
      <c r="BU39" s="158" t="n">
        <v>-1933.14611913091</v>
      </c>
      <c r="BV39" s="158" t="n">
        <v>-1933.14611913091</v>
      </c>
      <c r="BW39" s="158" t="n">
        <v>-1933.14611913091</v>
      </c>
      <c r="BX39" s="158" t="n">
        <v>-1933.14611913091</v>
      </c>
      <c r="BY39" s="158" t="n">
        <v>-1933.14611913091</v>
      </c>
      <c r="BZ39" s="158" t="n">
        <v>-1971.80904151353</v>
      </c>
      <c r="CA39" s="158" t="n">
        <v>-1971.80904151353</v>
      </c>
      <c r="CB39" s="158" t="n">
        <v>-1971.80904151353</v>
      </c>
      <c r="CC39" s="158" t="n">
        <v>-1971.80904151353</v>
      </c>
      <c r="CD39" s="158" t="n">
        <v>-1971.80904151353</v>
      </c>
      <c r="CE39" s="158" t="n">
        <v>-1971.80904151353</v>
      </c>
      <c r="CF39" s="158" t="n">
        <v>-1971.80904151353</v>
      </c>
      <c r="CG39" s="158" t="n">
        <v>-1971.80904151353</v>
      </c>
      <c r="CH39" s="158" t="n">
        <v>-1971.80904151353</v>
      </c>
      <c r="CI39" s="158" t="n">
        <v>-1971.80904151353</v>
      </c>
      <c r="CJ39" s="158" t="n">
        <v>-1971.80904151353</v>
      </c>
      <c r="CK39" s="158" t="n">
        <v>-1971.80904151353</v>
      </c>
      <c r="CL39" s="158" t="n">
        <v>-2011.2452223438</v>
      </c>
      <c r="CM39" s="158" t="n">
        <v>-2011.2452223438</v>
      </c>
      <c r="CN39" s="158" t="n">
        <v>-2011.2452223438</v>
      </c>
      <c r="CO39" s="158" t="n">
        <v>-2011.2452223438</v>
      </c>
      <c r="CP39" s="158" t="n">
        <v>-2011.2452223438</v>
      </c>
      <c r="CQ39" s="158" t="n">
        <v>-2011.2452223438</v>
      </c>
      <c r="CR39" s="158" t="n">
        <v>-2011.2452223438</v>
      </c>
      <c r="CS39" s="158" t="n">
        <v>-2011.2452223438</v>
      </c>
      <c r="CT39" s="158" t="n">
        <v>-2011.2452223438</v>
      </c>
      <c r="CU39" s="158" t="n">
        <v>-2011.2452223438</v>
      </c>
      <c r="CV39" s="158" t="n">
        <v>-2011.2452223438</v>
      </c>
      <c r="CW39" s="158" t="n">
        <v>-2011.2452223438</v>
      </c>
      <c r="CX39" s="158" t="n">
        <v>-2051.47012679068</v>
      </c>
      <c r="CY39" s="158" t="n">
        <v>-2051.47012679068</v>
      </c>
      <c r="CZ39" s="158" t="n">
        <v>-2051.47012679068</v>
      </c>
      <c r="DA39" s="158" t="n">
        <v>-2051.47012679068</v>
      </c>
      <c r="DB39" s="158" t="n">
        <v>-2051.47012679068</v>
      </c>
      <c r="DC39" s="158" t="n">
        <v>-2051.47012679068</v>
      </c>
      <c r="DD39" s="158" t="n">
        <v>-2051.47012679068</v>
      </c>
      <c r="DE39" s="158" t="n">
        <v>-2051.47012679068</v>
      </c>
      <c r="DF39" s="158" t="n">
        <v>-2051.47012679068</v>
      </c>
    </row>
    <row r="40" customFormat="false" ht="15" hidden="false" customHeight="true" outlineLevel="0" collapsed="false">
      <c r="A40" s="90" t="s">
        <v>83</v>
      </c>
      <c r="C40" s="104" t="n">
        <v>-1417.61</v>
      </c>
      <c r="D40" s="104" t="n">
        <v>-2730.36</v>
      </c>
      <c r="E40" s="104" t="n">
        <v>-1818.05</v>
      </c>
      <c r="F40" s="158" t="n">
        <v>-1988.67</v>
      </c>
      <c r="G40" s="158" t="n">
        <v>-1988.67</v>
      </c>
      <c r="H40" s="158" t="n">
        <v>-1988.67</v>
      </c>
      <c r="I40" s="158" t="n">
        <v>-1988.67</v>
      </c>
      <c r="J40" s="158" t="n">
        <v>-1988.67</v>
      </c>
      <c r="K40" s="158" t="n">
        <v>-1988.67</v>
      </c>
      <c r="L40" s="158" t="n">
        <v>-1988.67</v>
      </c>
      <c r="M40" s="158" t="n">
        <v>-1988.67</v>
      </c>
      <c r="N40" s="158" t="n">
        <v>-1988.67</v>
      </c>
      <c r="O40" s="158" t="n">
        <v>-1988.67</v>
      </c>
      <c r="P40" s="158" t="n">
        <v>-1988.67</v>
      </c>
      <c r="Q40" s="158" t="n">
        <v>-1988.67</v>
      </c>
      <c r="R40" s="158" t="n">
        <v>-2028.4434</v>
      </c>
      <c r="S40" s="158" t="n">
        <v>-2028.4434</v>
      </c>
      <c r="T40" s="158" t="n">
        <v>-2028.4434</v>
      </c>
      <c r="U40" s="158" t="n">
        <v>-2028.4434</v>
      </c>
      <c r="V40" s="158" t="n">
        <v>-2028.4434</v>
      </c>
      <c r="W40" s="158" t="n">
        <v>-2028.4434</v>
      </c>
      <c r="X40" s="158" t="n">
        <v>-2028.4434</v>
      </c>
      <c r="Y40" s="158" t="n">
        <v>-2028.4434</v>
      </c>
      <c r="Z40" s="158" t="n">
        <v>-2028.4434</v>
      </c>
      <c r="AA40" s="158" t="n">
        <v>-2028.4434</v>
      </c>
      <c r="AB40" s="158" t="n">
        <v>-2028.4434</v>
      </c>
      <c r="AC40" s="158" t="n">
        <v>-2028.4434</v>
      </c>
      <c r="AD40" s="158" t="n">
        <v>-2069.012268</v>
      </c>
      <c r="AE40" s="158" t="n">
        <v>-2069.012268</v>
      </c>
      <c r="AF40" s="158" t="n">
        <v>-2069.012268</v>
      </c>
      <c r="AG40" s="158" t="n">
        <v>-2069.012268</v>
      </c>
      <c r="AH40" s="158" t="n">
        <v>-2069.012268</v>
      </c>
      <c r="AI40" s="158" t="n">
        <v>-2069.012268</v>
      </c>
      <c r="AJ40" s="158" t="n">
        <v>-2069.012268</v>
      </c>
      <c r="AK40" s="158" t="n">
        <v>-2069.012268</v>
      </c>
      <c r="AL40" s="158" t="n">
        <v>-2069.012268</v>
      </c>
      <c r="AM40" s="158" t="n">
        <v>-2069.012268</v>
      </c>
      <c r="AN40" s="158" t="n">
        <v>-2069.012268</v>
      </c>
      <c r="AO40" s="158" t="n">
        <v>-2069.012268</v>
      </c>
      <c r="AP40" s="158" t="n">
        <v>-2110.39251336</v>
      </c>
      <c r="AQ40" s="158" t="n">
        <v>-2110.39251336</v>
      </c>
      <c r="AR40" s="158" t="n">
        <v>-2110.39251336</v>
      </c>
      <c r="AS40" s="158" t="n">
        <v>-2110.39251336</v>
      </c>
      <c r="AT40" s="158" t="n">
        <v>-2110.39251336</v>
      </c>
      <c r="AU40" s="158" t="n">
        <v>-2110.39251336</v>
      </c>
      <c r="AV40" s="158" t="n">
        <v>-2110.39251336</v>
      </c>
      <c r="AW40" s="158" t="n">
        <v>-2110.39251336</v>
      </c>
      <c r="AX40" s="158" t="n">
        <v>-2110.39251336</v>
      </c>
      <c r="AY40" s="158" t="n">
        <v>-2110.39251336</v>
      </c>
      <c r="AZ40" s="158" t="n">
        <v>-2110.39251336</v>
      </c>
      <c r="BA40" s="158" t="n">
        <v>-2110.39251336</v>
      </c>
      <c r="BB40" s="158" t="n">
        <v>-2152.6003636272</v>
      </c>
      <c r="BC40" s="158" t="n">
        <v>-2152.6003636272</v>
      </c>
      <c r="BD40" s="158" t="n">
        <v>-2152.6003636272</v>
      </c>
      <c r="BE40" s="158" t="n">
        <v>-2152.6003636272</v>
      </c>
      <c r="BF40" s="158" t="n">
        <v>-2152.6003636272</v>
      </c>
      <c r="BG40" s="158" t="n">
        <v>-2152.6003636272</v>
      </c>
      <c r="BH40" s="158" t="n">
        <v>-2152.6003636272</v>
      </c>
      <c r="BI40" s="158" t="n">
        <v>-2152.6003636272</v>
      </c>
      <c r="BJ40" s="158" t="n">
        <v>-2152.6003636272</v>
      </c>
      <c r="BK40" s="158" t="n">
        <v>-2152.6003636272</v>
      </c>
      <c r="BL40" s="158" t="n">
        <v>-2152.6003636272</v>
      </c>
      <c r="BM40" s="158" t="n">
        <v>-2152.6003636272</v>
      </c>
      <c r="BN40" s="158" t="n">
        <v>-2195.65237089974</v>
      </c>
      <c r="BO40" s="158" t="n">
        <v>-2195.65237089974</v>
      </c>
      <c r="BP40" s="158" t="n">
        <v>-2195.65237089974</v>
      </c>
      <c r="BQ40" s="158" t="n">
        <v>-2195.65237089974</v>
      </c>
      <c r="BR40" s="158" t="n">
        <v>-2195.65237089974</v>
      </c>
      <c r="BS40" s="158" t="n">
        <v>-2195.65237089974</v>
      </c>
      <c r="BT40" s="158" t="n">
        <v>-2195.65237089974</v>
      </c>
      <c r="BU40" s="158" t="n">
        <v>-2195.65237089974</v>
      </c>
      <c r="BV40" s="158" t="n">
        <v>-2195.65237089974</v>
      </c>
      <c r="BW40" s="158" t="n">
        <v>-2195.65237089974</v>
      </c>
      <c r="BX40" s="158" t="n">
        <v>-2195.65237089974</v>
      </c>
      <c r="BY40" s="158" t="n">
        <v>-2195.65237089974</v>
      </c>
      <c r="BZ40" s="158" t="n">
        <v>-2239.56541831774</v>
      </c>
      <c r="CA40" s="158" t="n">
        <v>-2239.56541831774</v>
      </c>
      <c r="CB40" s="158" t="n">
        <v>-2239.56541831774</v>
      </c>
      <c r="CC40" s="158" t="n">
        <v>-2239.56541831774</v>
      </c>
      <c r="CD40" s="158" t="n">
        <v>-2239.56541831774</v>
      </c>
      <c r="CE40" s="158" t="n">
        <v>-2239.56541831774</v>
      </c>
      <c r="CF40" s="158" t="n">
        <v>-2239.56541831774</v>
      </c>
      <c r="CG40" s="158" t="n">
        <v>-2239.56541831774</v>
      </c>
      <c r="CH40" s="158" t="n">
        <v>-2239.56541831774</v>
      </c>
      <c r="CI40" s="158" t="n">
        <v>-2239.56541831774</v>
      </c>
      <c r="CJ40" s="158" t="n">
        <v>-2239.56541831774</v>
      </c>
      <c r="CK40" s="158" t="n">
        <v>-2239.56541831774</v>
      </c>
      <c r="CL40" s="158" t="n">
        <v>-2284.35672668409</v>
      </c>
      <c r="CM40" s="158" t="n">
        <v>-2284.35672668409</v>
      </c>
      <c r="CN40" s="158" t="n">
        <v>-2284.35672668409</v>
      </c>
      <c r="CO40" s="158" t="n">
        <v>-2284.35672668409</v>
      </c>
      <c r="CP40" s="158" t="n">
        <v>-2284.35672668409</v>
      </c>
      <c r="CQ40" s="158" t="n">
        <v>-2284.35672668409</v>
      </c>
      <c r="CR40" s="158" t="n">
        <v>-2284.35672668409</v>
      </c>
      <c r="CS40" s="158" t="n">
        <v>-2284.35672668409</v>
      </c>
      <c r="CT40" s="158" t="n">
        <v>-2284.35672668409</v>
      </c>
      <c r="CU40" s="158" t="n">
        <v>-2284.35672668409</v>
      </c>
      <c r="CV40" s="158" t="n">
        <v>-2284.35672668409</v>
      </c>
      <c r="CW40" s="158" t="n">
        <v>-2284.35672668409</v>
      </c>
      <c r="CX40" s="158" t="n">
        <v>-2330.04386121778</v>
      </c>
      <c r="CY40" s="158" t="n">
        <v>-2330.04386121778</v>
      </c>
      <c r="CZ40" s="158" t="n">
        <v>-2330.04386121778</v>
      </c>
      <c r="DA40" s="158" t="n">
        <v>-2330.04386121778</v>
      </c>
      <c r="DB40" s="158" t="n">
        <v>-2330.04386121778</v>
      </c>
      <c r="DC40" s="158" t="n">
        <v>-2330.04386121778</v>
      </c>
      <c r="DD40" s="158" t="n">
        <v>-2330.04386121778</v>
      </c>
      <c r="DE40" s="158" t="n">
        <v>-2330.04386121778</v>
      </c>
      <c r="DF40" s="158" t="n">
        <v>-2330.04386121778</v>
      </c>
    </row>
    <row r="41" customFormat="false" ht="15" hidden="false" customHeight="true" outlineLevel="0" collapsed="false">
      <c r="A41" s="90" t="s">
        <v>84</v>
      </c>
      <c r="C41" s="104" t="n">
        <v>0</v>
      </c>
      <c r="D41" s="104" t="n">
        <v>0</v>
      </c>
      <c r="E41" s="104" t="n">
        <v>-41990</v>
      </c>
      <c r="F41" s="158" t="n">
        <v>0</v>
      </c>
      <c r="G41" s="158" t="n">
        <v>-44250</v>
      </c>
      <c r="H41" s="158" t="n">
        <v>-45000</v>
      </c>
      <c r="I41" s="158" t="n">
        <v>-19500</v>
      </c>
      <c r="J41" s="158" t="n">
        <v>0</v>
      </c>
      <c r="K41" s="158" t="n">
        <v>0</v>
      </c>
      <c r="L41" s="158" t="n">
        <v>-37500</v>
      </c>
      <c r="M41" s="158" t="n">
        <v>-54000</v>
      </c>
      <c r="N41" s="158" t="n">
        <v>0</v>
      </c>
      <c r="O41" s="158" t="n">
        <v>0</v>
      </c>
      <c r="P41" s="158" t="n">
        <v>0</v>
      </c>
      <c r="Q41" s="158" t="n">
        <v>0</v>
      </c>
      <c r="R41" s="158" t="n">
        <v>-24000</v>
      </c>
      <c r="S41" s="158" t="n">
        <v>0</v>
      </c>
      <c r="T41" s="158" t="n">
        <v>0</v>
      </c>
      <c r="U41" s="158" t="n">
        <v>0</v>
      </c>
      <c r="V41" s="158" t="n">
        <v>0</v>
      </c>
      <c r="W41" s="158" t="n">
        <v>0</v>
      </c>
      <c r="X41" s="158" t="n">
        <v>0</v>
      </c>
      <c r="Y41" s="158" t="n">
        <v>0</v>
      </c>
      <c r="Z41" s="158" t="n">
        <v>0</v>
      </c>
      <c r="AA41" s="158" t="n">
        <v>0</v>
      </c>
      <c r="AB41" s="158" t="n">
        <v>0</v>
      </c>
      <c r="AC41" s="158" t="n">
        <v>0</v>
      </c>
      <c r="AD41" s="158" t="n">
        <v>0</v>
      </c>
      <c r="AE41" s="158" t="n">
        <v>0</v>
      </c>
      <c r="AF41" s="158" t="n">
        <v>0</v>
      </c>
      <c r="AG41" s="158" t="n">
        <v>0</v>
      </c>
      <c r="AH41" s="158" t="n">
        <v>0</v>
      </c>
      <c r="AI41" s="158" t="n">
        <v>0</v>
      </c>
      <c r="AJ41" s="158" t="n">
        <v>0</v>
      </c>
      <c r="AK41" s="158" t="n">
        <v>0</v>
      </c>
      <c r="AL41" s="158" t="n">
        <v>0</v>
      </c>
      <c r="AM41" s="158" t="n">
        <v>0</v>
      </c>
      <c r="AN41" s="158" t="n">
        <v>0</v>
      </c>
      <c r="AO41" s="158" t="n">
        <v>0</v>
      </c>
      <c r="AP41" s="158" t="n">
        <v>0</v>
      </c>
      <c r="AQ41" s="158" t="n">
        <v>0</v>
      </c>
      <c r="AR41" s="158" t="n">
        <v>0</v>
      </c>
      <c r="AS41" s="158" t="n">
        <v>0</v>
      </c>
      <c r="AT41" s="158" t="n">
        <v>0</v>
      </c>
      <c r="AU41" s="158" t="n">
        <v>0</v>
      </c>
      <c r="AV41" s="158" t="n">
        <v>0</v>
      </c>
      <c r="AW41" s="158" t="n">
        <v>0</v>
      </c>
      <c r="AX41" s="158" t="n">
        <v>0</v>
      </c>
      <c r="AY41" s="158" t="n">
        <v>0</v>
      </c>
      <c r="AZ41" s="158" t="n">
        <v>0</v>
      </c>
      <c r="BA41" s="158" t="n">
        <v>0</v>
      </c>
      <c r="BB41" s="158" t="n">
        <v>0</v>
      </c>
      <c r="BC41" s="158" t="n">
        <v>0</v>
      </c>
      <c r="BD41" s="158" t="n">
        <v>0</v>
      </c>
      <c r="BE41" s="158" t="n">
        <v>0</v>
      </c>
      <c r="BF41" s="158" t="n">
        <v>0</v>
      </c>
      <c r="BG41" s="158" t="n">
        <v>0</v>
      </c>
      <c r="BH41" s="158" t="n">
        <v>0</v>
      </c>
      <c r="BI41" s="158" t="n">
        <v>0</v>
      </c>
      <c r="BJ41" s="158" t="n">
        <v>0</v>
      </c>
      <c r="BK41" s="158" t="n">
        <v>0</v>
      </c>
      <c r="BL41" s="158" t="n">
        <v>0</v>
      </c>
      <c r="BM41" s="158" t="n">
        <v>0</v>
      </c>
      <c r="BN41" s="158" t="n">
        <v>0</v>
      </c>
      <c r="BO41" s="158" t="n">
        <v>0</v>
      </c>
      <c r="BP41" s="158" t="n">
        <v>0</v>
      </c>
      <c r="BQ41" s="158" t="n">
        <v>0</v>
      </c>
      <c r="BR41" s="158" t="n">
        <v>0</v>
      </c>
      <c r="BS41" s="158" t="n">
        <v>0</v>
      </c>
      <c r="BT41" s="158" t="n">
        <v>0</v>
      </c>
      <c r="BU41" s="158" t="n">
        <v>0</v>
      </c>
      <c r="BV41" s="158" t="n">
        <v>0</v>
      </c>
      <c r="BW41" s="158" t="n">
        <v>0</v>
      </c>
      <c r="BX41" s="158" t="n">
        <v>0</v>
      </c>
      <c r="BY41" s="158" t="n">
        <v>0</v>
      </c>
      <c r="BZ41" s="158" t="n">
        <v>0</v>
      </c>
      <c r="CA41" s="158" t="n">
        <v>0</v>
      </c>
      <c r="CB41" s="158" t="n">
        <v>0</v>
      </c>
      <c r="CC41" s="158" t="n">
        <v>0</v>
      </c>
      <c r="CD41" s="158" t="n">
        <v>0</v>
      </c>
      <c r="CE41" s="158" t="n">
        <v>0</v>
      </c>
      <c r="CF41" s="158" t="n">
        <v>0</v>
      </c>
      <c r="CG41" s="158" t="n">
        <v>0</v>
      </c>
      <c r="CH41" s="158" t="n">
        <v>0</v>
      </c>
      <c r="CI41" s="158" t="n">
        <v>0</v>
      </c>
      <c r="CJ41" s="158" t="n">
        <v>0</v>
      </c>
      <c r="CK41" s="158" t="n">
        <v>0</v>
      </c>
      <c r="CL41" s="158" t="n">
        <v>0</v>
      </c>
      <c r="CM41" s="158" t="n">
        <v>0</v>
      </c>
      <c r="CN41" s="158" t="n">
        <v>0</v>
      </c>
      <c r="CO41" s="158" t="n">
        <v>0</v>
      </c>
      <c r="CP41" s="158" t="n">
        <v>0</v>
      </c>
      <c r="CQ41" s="158" t="n">
        <v>0</v>
      </c>
      <c r="CR41" s="158" t="n">
        <v>0</v>
      </c>
      <c r="CS41" s="158" t="n">
        <v>0</v>
      </c>
      <c r="CT41" s="158" t="n">
        <v>0</v>
      </c>
      <c r="CU41" s="158" t="n">
        <v>0</v>
      </c>
      <c r="CV41" s="158" t="n">
        <v>0</v>
      </c>
      <c r="CW41" s="158" t="n">
        <v>0</v>
      </c>
      <c r="CX41" s="158" t="n">
        <v>0</v>
      </c>
      <c r="CY41" s="158" t="n">
        <v>0</v>
      </c>
      <c r="CZ41" s="158" t="n">
        <v>0</v>
      </c>
      <c r="DA41" s="158" t="n">
        <v>0</v>
      </c>
      <c r="DB41" s="158" t="n">
        <v>0</v>
      </c>
      <c r="DC41" s="158" t="n">
        <v>0</v>
      </c>
      <c r="DD41" s="158" t="n">
        <v>0</v>
      </c>
      <c r="DE41" s="158" t="n">
        <v>0</v>
      </c>
      <c r="DF41" s="158" t="n">
        <v>0</v>
      </c>
    </row>
    <row r="42" customFormat="false" ht="15" hidden="false" customHeight="true" outlineLevel="0" collapsed="false">
      <c r="A42" s="90" t="s">
        <v>85</v>
      </c>
      <c r="C42" s="104" t="n">
        <v>-165</v>
      </c>
      <c r="D42" s="104" t="n">
        <v>0</v>
      </c>
      <c r="E42" s="104" t="n">
        <v>0</v>
      </c>
      <c r="F42" s="158" t="n">
        <v>-55</v>
      </c>
      <c r="G42" s="158" t="n">
        <v>-55</v>
      </c>
      <c r="H42" s="158" t="n">
        <v>-55</v>
      </c>
      <c r="I42" s="158" t="n">
        <v>-55</v>
      </c>
      <c r="J42" s="158" t="n">
        <v>-55</v>
      </c>
      <c r="K42" s="158" t="n">
        <v>-55</v>
      </c>
      <c r="L42" s="158" t="n">
        <v>-55</v>
      </c>
      <c r="M42" s="158" t="n">
        <v>-55</v>
      </c>
      <c r="N42" s="158" t="n">
        <v>-55</v>
      </c>
      <c r="O42" s="158" t="n">
        <v>-55</v>
      </c>
      <c r="P42" s="158" t="n">
        <v>-55</v>
      </c>
      <c r="Q42" s="158" t="n">
        <v>-55</v>
      </c>
      <c r="R42" s="158" t="n">
        <v>-56.1</v>
      </c>
      <c r="S42" s="158" t="n">
        <v>-56.1</v>
      </c>
      <c r="T42" s="158" t="n">
        <v>-56.1</v>
      </c>
      <c r="U42" s="158" t="n">
        <v>-56.1</v>
      </c>
      <c r="V42" s="158" t="n">
        <v>-56.1</v>
      </c>
      <c r="W42" s="158" t="n">
        <v>-56.1</v>
      </c>
      <c r="X42" s="158" t="n">
        <v>-56.1</v>
      </c>
      <c r="Y42" s="158" t="n">
        <v>-56.1</v>
      </c>
      <c r="Z42" s="158" t="n">
        <v>-56.1</v>
      </c>
      <c r="AA42" s="158" t="n">
        <v>-56.1</v>
      </c>
      <c r="AB42" s="158" t="n">
        <v>-56.1</v>
      </c>
      <c r="AC42" s="158" t="n">
        <v>-56.1</v>
      </c>
      <c r="AD42" s="158" t="n">
        <v>-57.222</v>
      </c>
      <c r="AE42" s="158" t="n">
        <v>-57.222</v>
      </c>
      <c r="AF42" s="158" t="n">
        <v>-57.222</v>
      </c>
      <c r="AG42" s="158" t="n">
        <v>-57.222</v>
      </c>
      <c r="AH42" s="158" t="n">
        <v>-57.222</v>
      </c>
      <c r="AI42" s="158" t="n">
        <v>-57.222</v>
      </c>
      <c r="AJ42" s="158" t="n">
        <v>-57.222</v>
      </c>
      <c r="AK42" s="158" t="n">
        <v>-57.222</v>
      </c>
      <c r="AL42" s="158" t="n">
        <v>-57.222</v>
      </c>
      <c r="AM42" s="158" t="n">
        <v>-57.222</v>
      </c>
      <c r="AN42" s="158" t="n">
        <v>-57.222</v>
      </c>
      <c r="AO42" s="158" t="n">
        <v>-57.222</v>
      </c>
      <c r="AP42" s="158" t="n">
        <v>-58.36644</v>
      </c>
      <c r="AQ42" s="158" t="n">
        <v>-58.36644</v>
      </c>
      <c r="AR42" s="158" t="n">
        <v>-58.36644</v>
      </c>
      <c r="AS42" s="158" t="n">
        <v>-58.36644</v>
      </c>
      <c r="AT42" s="158" t="n">
        <v>-58.36644</v>
      </c>
      <c r="AU42" s="158" t="n">
        <v>-58.36644</v>
      </c>
      <c r="AV42" s="158" t="n">
        <v>-58.36644</v>
      </c>
      <c r="AW42" s="158" t="n">
        <v>-58.36644</v>
      </c>
      <c r="AX42" s="158" t="n">
        <v>-58.36644</v>
      </c>
      <c r="AY42" s="158" t="n">
        <v>-58.36644</v>
      </c>
      <c r="AZ42" s="158" t="n">
        <v>-58.36644</v>
      </c>
      <c r="BA42" s="158" t="n">
        <v>-58.36644</v>
      </c>
      <c r="BB42" s="158" t="n">
        <v>-59.5337688</v>
      </c>
      <c r="BC42" s="158" t="n">
        <v>-59.5337688</v>
      </c>
      <c r="BD42" s="158" t="n">
        <v>-59.5337688</v>
      </c>
      <c r="BE42" s="158" t="n">
        <v>-59.5337688</v>
      </c>
      <c r="BF42" s="158" t="n">
        <v>-59.5337688</v>
      </c>
      <c r="BG42" s="158" t="n">
        <v>-59.5337688</v>
      </c>
      <c r="BH42" s="158" t="n">
        <v>-59.5337688</v>
      </c>
      <c r="BI42" s="158" t="n">
        <v>-59.5337688</v>
      </c>
      <c r="BJ42" s="158" t="n">
        <v>-59.5337688</v>
      </c>
      <c r="BK42" s="158" t="n">
        <v>-59.5337688</v>
      </c>
      <c r="BL42" s="158" t="n">
        <v>-59.5337688</v>
      </c>
      <c r="BM42" s="158" t="n">
        <v>-59.5337688</v>
      </c>
      <c r="BN42" s="158" t="n">
        <v>-60.724444176</v>
      </c>
      <c r="BO42" s="158" t="n">
        <v>-60.724444176</v>
      </c>
      <c r="BP42" s="158" t="n">
        <v>-60.724444176</v>
      </c>
      <c r="BQ42" s="158" t="n">
        <v>-60.724444176</v>
      </c>
      <c r="BR42" s="158" t="n">
        <v>-60.724444176</v>
      </c>
      <c r="BS42" s="158" t="n">
        <v>-60.724444176</v>
      </c>
      <c r="BT42" s="158" t="n">
        <v>-60.724444176</v>
      </c>
      <c r="BU42" s="158" t="n">
        <v>-60.724444176</v>
      </c>
      <c r="BV42" s="158" t="n">
        <v>-60.724444176</v>
      </c>
      <c r="BW42" s="158" t="n">
        <v>-60.724444176</v>
      </c>
      <c r="BX42" s="158" t="n">
        <v>-60.724444176</v>
      </c>
      <c r="BY42" s="158" t="n">
        <v>-60.724444176</v>
      </c>
      <c r="BZ42" s="158" t="n">
        <v>-61.93893305952</v>
      </c>
      <c r="CA42" s="158" t="n">
        <v>-61.93893305952</v>
      </c>
      <c r="CB42" s="158" t="n">
        <v>-61.93893305952</v>
      </c>
      <c r="CC42" s="158" t="n">
        <v>-61.93893305952</v>
      </c>
      <c r="CD42" s="158" t="n">
        <v>-61.93893305952</v>
      </c>
      <c r="CE42" s="158" t="n">
        <v>-61.93893305952</v>
      </c>
      <c r="CF42" s="158" t="n">
        <v>-61.93893305952</v>
      </c>
      <c r="CG42" s="158" t="n">
        <v>-61.93893305952</v>
      </c>
      <c r="CH42" s="158" t="n">
        <v>-61.93893305952</v>
      </c>
      <c r="CI42" s="158" t="n">
        <v>-61.93893305952</v>
      </c>
      <c r="CJ42" s="158" t="n">
        <v>-61.93893305952</v>
      </c>
      <c r="CK42" s="158" t="n">
        <v>-61.93893305952</v>
      </c>
      <c r="CL42" s="158" t="n">
        <v>-63.1777117207104</v>
      </c>
      <c r="CM42" s="158" t="n">
        <v>-63.1777117207104</v>
      </c>
      <c r="CN42" s="158" t="n">
        <v>-63.1777117207104</v>
      </c>
      <c r="CO42" s="158" t="n">
        <v>-63.1777117207104</v>
      </c>
      <c r="CP42" s="158" t="n">
        <v>-63.1777117207104</v>
      </c>
      <c r="CQ42" s="158" t="n">
        <v>-63.1777117207104</v>
      </c>
      <c r="CR42" s="158" t="n">
        <v>-63.1777117207104</v>
      </c>
      <c r="CS42" s="158" t="n">
        <v>-63.1777117207104</v>
      </c>
      <c r="CT42" s="158" t="n">
        <v>-63.1777117207104</v>
      </c>
      <c r="CU42" s="158" t="n">
        <v>-63.1777117207104</v>
      </c>
      <c r="CV42" s="158" t="n">
        <v>-63.1777117207104</v>
      </c>
      <c r="CW42" s="158" t="n">
        <v>-63.1777117207104</v>
      </c>
      <c r="CX42" s="158" t="n">
        <v>-64.4412659551246</v>
      </c>
      <c r="CY42" s="158" t="n">
        <v>-64.4412659551246</v>
      </c>
      <c r="CZ42" s="158" t="n">
        <v>-64.4412659551246</v>
      </c>
      <c r="DA42" s="158" t="n">
        <v>-64.4412659551246</v>
      </c>
      <c r="DB42" s="158" t="n">
        <v>-64.4412659551246</v>
      </c>
      <c r="DC42" s="158" t="n">
        <v>-64.4412659551246</v>
      </c>
      <c r="DD42" s="158" t="n">
        <v>-64.4412659551246</v>
      </c>
      <c r="DE42" s="158" t="n">
        <v>-64.4412659551246</v>
      </c>
      <c r="DF42" s="158" t="n">
        <v>-64.4412659551246</v>
      </c>
    </row>
    <row r="43" customFormat="false" ht="15" hidden="false" customHeight="true" outlineLevel="0" collapsed="false">
      <c r="A43" s="90" t="s">
        <v>86</v>
      </c>
      <c r="C43" s="162" t="n">
        <v>0</v>
      </c>
      <c r="D43" s="162" t="n">
        <v>0</v>
      </c>
      <c r="E43" s="162" t="n">
        <v>0</v>
      </c>
      <c r="F43" s="158" t="n">
        <v>0</v>
      </c>
      <c r="G43" s="158" t="n">
        <v>0</v>
      </c>
      <c r="H43" s="158" t="n">
        <v>0</v>
      </c>
      <c r="I43" s="158" t="n">
        <v>0</v>
      </c>
      <c r="J43" s="158" t="n">
        <v>0</v>
      </c>
      <c r="K43" s="158" t="n">
        <v>0</v>
      </c>
      <c r="L43" s="158" t="n">
        <v>0</v>
      </c>
      <c r="M43" s="158" t="n">
        <v>0</v>
      </c>
      <c r="N43" s="158" t="n">
        <v>0</v>
      </c>
      <c r="O43" s="158" t="n">
        <v>0</v>
      </c>
      <c r="P43" s="158" t="n">
        <v>0</v>
      </c>
      <c r="Q43" s="158" t="n">
        <v>0</v>
      </c>
      <c r="R43" s="158" t="n">
        <v>0</v>
      </c>
      <c r="S43" s="158" t="n">
        <v>0</v>
      </c>
      <c r="T43" s="158" t="n">
        <v>0</v>
      </c>
      <c r="U43" s="158" t="n">
        <v>0</v>
      </c>
      <c r="V43" s="158" t="n">
        <v>0</v>
      </c>
      <c r="W43" s="158" t="n">
        <v>0</v>
      </c>
      <c r="X43" s="158" t="n">
        <v>0</v>
      </c>
      <c r="Y43" s="158" t="n">
        <v>0</v>
      </c>
      <c r="Z43" s="158" t="n">
        <v>0</v>
      </c>
      <c r="AA43" s="158" t="n">
        <v>0</v>
      </c>
      <c r="AB43" s="158" t="n">
        <v>0</v>
      </c>
      <c r="AC43" s="158" t="n">
        <v>0</v>
      </c>
      <c r="AD43" s="158" t="n">
        <v>0</v>
      </c>
      <c r="AE43" s="158" t="n">
        <v>0</v>
      </c>
      <c r="AF43" s="158" t="n">
        <v>0</v>
      </c>
      <c r="AG43" s="158" t="n">
        <v>0</v>
      </c>
      <c r="AH43" s="158" t="n">
        <v>0</v>
      </c>
      <c r="AI43" s="158" t="n">
        <v>0</v>
      </c>
      <c r="AJ43" s="158" t="n">
        <v>0</v>
      </c>
      <c r="AK43" s="158" t="n">
        <v>0</v>
      </c>
      <c r="AL43" s="158" t="n">
        <v>0</v>
      </c>
      <c r="AM43" s="158" t="n">
        <v>0</v>
      </c>
      <c r="AN43" s="158" t="n">
        <v>0</v>
      </c>
      <c r="AO43" s="158" t="n">
        <v>0</v>
      </c>
      <c r="AP43" s="158" t="n">
        <v>0</v>
      </c>
      <c r="AQ43" s="158" t="n">
        <v>0</v>
      </c>
      <c r="AR43" s="158" t="n">
        <v>0</v>
      </c>
      <c r="AS43" s="158" t="n">
        <v>0</v>
      </c>
      <c r="AT43" s="158" t="n">
        <v>0</v>
      </c>
      <c r="AU43" s="158" t="n">
        <v>0</v>
      </c>
      <c r="AV43" s="158" t="n">
        <v>0</v>
      </c>
      <c r="AW43" s="158" t="n">
        <v>0</v>
      </c>
      <c r="AX43" s="158" t="n">
        <v>0</v>
      </c>
      <c r="AY43" s="158" t="n">
        <v>0</v>
      </c>
      <c r="AZ43" s="158" t="n">
        <v>0</v>
      </c>
      <c r="BA43" s="158" t="n">
        <v>0</v>
      </c>
      <c r="BB43" s="158" t="n">
        <v>0</v>
      </c>
      <c r="BC43" s="158" t="n">
        <v>0</v>
      </c>
      <c r="BD43" s="158" t="n">
        <v>0</v>
      </c>
      <c r="BE43" s="158" t="n">
        <v>0</v>
      </c>
      <c r="BF43" s="158" t="n">
        <v>0</v>
      </c>
      <c r="BG43" s="158" t="n">
        <v>0</v>
      </c>
      <c r="BH43" s="158" t="n">
        <v>0</v>
      </c>
      <c r="BI43" s="158" t="n">
        <v>0</v>
      </c>
      <c r="BJ43" s="158" t="n">
        <v>0</v>
      </c>
      <c r="BK43" s="158" t="n">
        <v>0</v>
      </c>
      <c r="BL43" s="158" t="n">
        <v>0</v>
      </c>
      <c r="BM43" s="158" t="n">
        <v>0</v>
      </c>
      <c r="BN43" s="158" t="n">
        <v>0</v>
      </c>
      <c r="BO43" s="158" t="n">
        <v>0</v>
      </c>
      <c r="BP43" s="158" t="n">
        <v>0</v>
      </c>
      <c r="BQ43" s="158" t="n">
        <v>0</v>
      </c>
      <c r="BR43" s="158" t="n">
        <v>0</v>
      </c>
      <c r="BS43" s="158" t="n">
        <v>0</v>
      </c>
      <c r="BT43" s="158" t="n">
        <v>0</v>
      </c>
      <c r="BU43" s="158" t="n">
        <v>0</v>
      </c>
      <c r="BV43" s="158" t="n">
        <v>0</v>
      </c>
      <c r="BW43" s="158" t="n">
        <v>0</v>
      </c>
      <c r="BX43" s="158" t="n">
        <v>0</v>
      </c>
      <c r="BY43" s="158" t="n">
        <v>0</v>
      </c>
      <c r="BZ43" s="158" t="n">
        <v>0</v>
      </c>
      <c r="CA43" s="158" t="n">
        <v>0</v>
      </c>
      <c r="CB43" s="158" t="n">
        <v>0</v>
      </c>
      <c r="CC43" s="158" t="n">
        <v>0</v>
      </c>
      <c r="CD43" s="158" t="n">
        <v>0</v>
      </c>
      <c r="CE43" s="158" t="n">
        <v>0</v>
      </c>
      <c r="CF43" s="158" t="n">
        <v>0</v>
      </c>
      <c r="CG43" s="158" t="n">
        <v>0</v>
      </c>
      <c r="CH43" s="158" t="n">
        <v>0</v>
      </c>
      <c r="CI43" s="158" t="n">
        <v>0</v>
      </c>
      <c r="CJ43" s="158" t="n">
        <v>0</v>
      </c>
      <c r="CK43" s="158" t="n">
        <v>0</v>
      </c>
      <c r="CL43" s="158" t="n">
        <v>0</v>
      </c>
      <c r="CM43" s="158" t="n">
        <v>0</v>
      </c>
      <c r="CN43" s="158" t="n">
        <v>0</v>
      </c>
      <c r="CO43" s="158" t="n">
        <v>0</v>
      </c>
      <c r="CP43" s="158" t="n">
        <v>0</v>
      </c>
      <c r="CQ43" s="158" t="n">
        <v>0</v>
      </c>
      <c r="CR43" s="158" t="n">
        <v>0</v>
      </c>
      <c r="CS43" s="158" t="n">
        <v>0</v>
      </c>
      <c r="CT43" s="158" t="n">
        <v>0</v>
      </c>
      <c r="CU43" s="158" t="n">
        <v>0</v>
      </c>
      <c r="CV43" s="158" t="n">
        <v>0</v>
      </c>
      <c r="CW43" s="158" t="n">
        <v>0</v>
      </c>
      <c r="CX43" s="158" t="n">
        <v>0</v>
      </c>
      <c r="CY43" s="158" t="n">
        <v>0</v>
      </c>
      <c r="CZ43" s="158" t="n">
        <v>0</v>
      </c>
      <c r="DA43" s="158" t="n">
        <v>0</v>
      </c>
      <c r="DB43" s="158" t="n">
        <v>0</v>
      </c>
      <c r="DC43" s="158" t="n">
        <v>0</v>
      </c>
      <c r="DD43" s="158" t="n">
        <v>0</v>
      </c>
      <c r="DE43" s="158" t="n">
        <v>0</v>
      </c>
      <c r="DF43" s="158" t="n">
        <v>0</v>
      </c>
    </row>
    <row r="44" customFormat="false" ht="15" hidden="false" customHeight="true" outlineLevel="0" collapsed="false">
      <c r="A44" s="90" t="s">
        <v>87</v>
      </c>
      <c r="C44" s="104" t="n">
        <v>-550</v>
      </c>
      <c r="D44" s="104" t="n">
        <v>-550</v>
      </c>
      <c r="E44" s="104" t="n">
        <v>-550</v>
      </c>
      <c r="F44" s="158" t="n">
        <v>-550</v>
      </c>
      <c r="G44" s="158" t="n">
        <v>-550</v>
      </c>
      <c r="H44" s="158" t="n">
        <v>-550</v>
      </c>
      <c r="I44" s="158" t="n">
        <v>-550</v>
      </c>
      <c r="J44" s="158" t="n">
        <v>-550</v>
      </c>
      <c r="K44" s="158" t="n">
        <v>-550</v>
      </c>
      <c r="L44" s="158" t="n">
        <v>-550</v>
      </c>
      <c r="M44" s="158" t="n">
        <v>-550</v>
      </c>
      <c r="N44" s="158" t="n">
        <v>-550</v>
      </c>
      <c r="O44" s="158" t="n">
        <v>-550</v>
      </c>
      <c r="P44" s="158" t="n">
        <v>-550</v>
      </c>
      <c r="Q44" s="158" t="n">
        <v>-550</v>
      </c>
      <c r="R44" s="158" t="n">
        <v>-561</v>
      </c>
      <c r="S44" s="158" t="n">
        <v>-561</v>
      </c>
      <c r="T44" s="158" t="n">
        <v>-561</v>
      </c>
      <c r="U44" s="158" t="n">
        <v>-561</v>
      </c>
      <c r="V44" s="158" t="n">
        <v>-561</v>
      </c>
      <c r="W44" s="158" t="n">
        <v>-561</v>
      </c>
      <c r="X44" s="158" t="n">
        <v>-561</v>
      </c>
      <c r="Y44" s="158" t="n">
        <v>-561</v>
      </c>
      <c r="Z44" s="158" t="n">
        <v>-561</v>
      </c>
      <c r="AA44" s="158" t="n">
        <v>-561</v>
      </c>
      <c r="AB44" s="158" t="n">
        <v>-561</v>
      </c>
      <c r="AC44" s="158" t="n">
        <v>-561</v>
      </c>
      <c r="AD44" s="158" t="n">
        <v>-572.22</v>
      </c>
      <c r="AE44" s="158" t="n">
        <v>-572.22</v>
      </c>
      <c r="AF44" s="158" t="n">
        <v>-572.22</v>
      </c>
      <c r="AG44" s="158" t="n">
        <v>-572.22</v>
      </c>
      <c r="AH44" s="158" t="n">
        <v>-572.22</v>
      </c>
      <c r="AI44" s="158" t="n">
        <v>-572.22</v>
      </c>
      <c r="AJ44" s="158" t="n">
        <v>-572.22</v>
      </c>
      <c r="AK44" s="158" t="n">
        <v>-572.22</v>
      </c>
      <c r="AL44" s="158" t="n">
        <v>-572.22</v>
      </c>
      <c r="AM44" s="158" t="n">
        <v>-572.22</v>
      </c>
      <c r="AN44" s="158" t="n">
        <v>-572.22</v>
      </c>
      <c r="AO44" s="158" t="n">
        <v>-572.22</v>
      </c>
      <c r="AP44" s="158" t="n">
        <v>-583.6644</v>
      </c>
      <c r="AQ44" s="158" t="n">
        <v>-583.6644</v>
      </c>
      <c r="AR44" s="158" t="n">
        <v>-583.6644</v>
      </c>
      <c r="AS44" s="158" t="n">
        <v>-583.6644</v>
      </c>
      <c r="AT44" s="158" t="n">
        <v>-583.6644</v>
      </c>
      <c r="AU44" s="158" t="n">
        <v>-583.6644</v>
      </c>
      <c r="AV44" s="158" t="n">
        <v>-583.6644</v>
      </c>
      <c r="AW44" s="158" t="n">
        <v>-583.6644</v>
      </c>
      <c r="AX44" s="158" t="n">
        <v>-583.6644</v>
      </c>
      <c r="AY44" s="158" t="n">
        <v>-583.6644</v>
      </c>
      <c r="AZ44" s="158" t="n">
        <v>-583.6644</v>
      </c>
      <c r="BA44" s="158" t="n">
        <v>-583.6644</v>
      </c>
      <c r="BB44" s="158" t="n">
        <v>-595.337688</v>
      </c>
      <c r="BC44" s="158" t="n">
        <v>-595.337688</v>
      </c>
      <c r="BD44" s="158" t="n">
        <v>-595.337688</v>
      </c>
      <c r="BE44" s="158" t="n">
        <v>-595.337688</v>
      </c>
      <c r="BF44" s="158" t="n">
        <v>-595.337688</v>
      </c>
      <c r="BG44" s="158" t="n">
        <v>-595.337688</v>
      </c>
      <c r="BH44" s="158" t="n">
        <v>-595.337688</v>
      </c>
      <c r="BI44" s="158" t="n">
        <v>-595.337688</v>
      </c>
      <c r="BJ44" s="158" t="n">
        <v>-595.337688</v>
      </c>
      <c r="BK44" s="158" t="n">
        <v>-595.337688</v>
      </c>
      <c r="BL44" s="158" t="n">
        <v>-595.337688</v>
      </c>
      <c r="BM44" s="158" t="n">
        <v>-595.337688</v>
      </c>
      <c r="BN44" s="158" t="n">
        <v>-607.24444176</v>
      </c>
      <c r="BO44" s="158" t="n">
        <v>-607.24444176</v>
      </c>
      <c r="BP44" s="158" t="n">
        <v>-607.24444176</v>
      </c>
      <c r="BQ44" s="158" t="n">
        <v>-607.24444176</v>
      </c>
      <c r="BR44" s="158" t="n">
        <v>-607.24444176</v>
      </c>
      <c r="BS44" s="158" t="n">
        <v>-607.24444176</v>
      </c>
      <c r="BT44" s="158" t="n">
        <v>-607.24444176</v>
      </c>
      <c r="BU44" s="158" t="n">
        <v>-607.24444176</v>
      </c>
      <c r="BV44" s="158" t="n">
        <v>-607.24444176</v>
      </c>
      <c r="BW44" s="158" t="n">
        <v>-607.24444176</v>
      </c>
      <c r="BX44" s="158" t="n">
        <v>-607.24444176</v>
      </c>
      <c r="BY44" s="158" t="n">
        <v>-607.24444176</v>
      </c>
      <c r="BZ44" s="158" t="n">
        <v>-619.3893305952</v>
      </c>
      <c r="CA44" s="158" t="n">
        <v>-619.3893305952</v>
      </c>
      <c r="CB44" s="158" t="n">
        <v>-619.3893305952</v>
      </c>
      <c r="CC44" s="158" t="n">
        <v>-619.3893305952</v>
      </c>
      <c r="CD44" s="158" t="n">
        <v>-619.3893305952</v>
      </c>
      <c r="CE44" s="158" t="n">
        <v>-619.3893305952</v>
      </c>
      <c r="CF44" s="158" t="n">
        <v>-619.3893305952</v>
      </c>
      <c r="CG44" s="158" t="n">
        <v>-619.3893305952</v>
      </c>
      <c r="CH44" s="158" t="n">
        <v>-619.3893305952</v>
      </c>
      <c r="CI44" s="158" t="n">
        <v>-619.3893305952</v>
      </c>
      <c r="CJ44" s="158" t="n">
        <v>-619.3893305952</v>
      </c>
      <c r="CK44" s="158" t="n">
        <v>-619.3893305952</v>
      </c>
      <c r="CL44" s="158" t="n">
        <v>-631.777117207104</v>
      </c>
      <c r="CM44" s="158" t="n">
        <v>-631.777117207104</v>
      </c>
      <c r="CN44" s="158" t="n">
        <v>-631.777117207104</v>
      </c>
      <c r="CO44" s="158" t="n">
        <v>-631.777117207104</v>
      </c>
      <c r="CP44" s="158" t="n">
        <v>-631.777117207104</v>
      </c>
      <c r="CQ44" s="158" t="n">
        <v>-631.777117207104</v>
      </c>
      <c r="CR44" s="158" t="n">
        <v>-631.777117207104</v>
      </c>
      <c r="CS44" s="158" t="n">
        <v>-631.777117207104</v>
      </c>
      <c r="CT44" s="158" t="n">
        <v>-631.777117207104</v>
      </c>
      <c r="CU44" s="158" t="n">
        <v>-631.777117207104</v>
      </c>
      <c r="CV44" s="158" t="n">
        <v>-631.777117207104</v>
      </c>
      <c r="CW44" s="158" t="n">
        <v>-631.777117207104</v>
      </c>
      <c r="CX44" s="158" t="n">
        <v>-644.412659551246</v>
      </c>
      <c r="CY44" s="158" t="n">
        <v>-644.412659551246</v>
      </c>
      <c r="CZ44" s="158" t="n">
        <v>-644.412659551246</v>
      </c>
      <c r="DA44" s="158" t="n">
        <v>-644.412659551246</v>
      </c>
      <c r="DB44" s="158" t="n">
        <v>-644.412659551246</v>
      </c>
      <c r="DC44" s="158" t="n">
        <v>-644.412659551246</v>
      </c>
      <c r="DD44" s="158" t="n">
        <v>-644.412659551246</v>
      </c>
      <c r="DE44" s="158" t="n">
        <v>-644.412659551246</v>
      </c>
      <c r="DF44" s="158" t="n">
        <v>-644.412659551246</v>
      </c>
    </row>
    <row r="45" customFormat="false" ht="15" hidden="false" customHeight="true" outlineLevel="0" collapsed="false">
      <c r="A45" s="99" t="s">
        <v>88</v>
      </c>
      <c r="C45" s="159" t="n">
        <v>-19223.75</v>
      </c>
      <c r="D45" s="159" t="n">
        <v>-13381.97</v>
      </c>
      <c r="E45" s="159" t="n">
        <v>-20308.69</v>
      </c>
      <c r="F45" s="159" t="n">
        <v>-17638.14</v>
      </c>
      <c r="G45" s="159" t="n">
        <v>-17638.14</v>
      </c>
      <c r="H45" s="159" t="n">
        <v>-17638.14</v>
      </c>
      <c r="I45" s="159" t="n">
        <v>-17638.14</v>
      </c>
      <c r="J45" s="159" t="n">
        <v>-17638.14</v>
      </c>
      <c r="K45" s="159" t="n">
        <v>-17638.14</v>
      </c>
      <c r="L45" s="159" t="n">
        <v>-17638.14</v>
      </c>
      <c r="M45" s="159" t="n">
        <v>-17638.14</v>
      </c>
      <c r="N45" s="159" t="n">
        <v>-17638.14</v>
      </c>
      <c r="O45" s="159" t="n">
        <v>-17638.14</v>
      </c>
      <c r="P45" s="159" t="n">
        <v>-17638.14</v>
      </c>
      <c r="Q45" s="159" t="n">
        <v>-17638.14</v>
      </c>
      <c r="R45" s="159" t="n">
        <v>-17990.9028</v>
      </c>
      <c r="S45" s="159" t="n">
        <v>-17990.9028</v>
      </c>
      <c r="T45" s="159" t="n">
        <v>-17990.9028</v>
      </c>
      <c r="U45" s="159" t="n">
        <v>-17990.9028</v>
      </c>
      <c r="V45" s="159" t="n">
        <v>-17990.9028</v>
      </c>
      <c r="W45" s="159" t="n">
        <v>-17990.9028</v>
      </c>
      <c r="X45" s="159" t="n">
        <v>-17990.9028</v>
      </c>
      <c r="Y45" s="159" t="n">
        <v>-17990.9028</v>
      </c>
      <c r="Z45" s="159" t="n">
        <v>-17990.9028</v>
      </c>
      <c r="AA45" s="159" t="n">
        <v>-17990.9028</v>
      </c>
      <c r="AB45" s="159" t="n">
        <v>-17990.9028</v>
      </c>
      <c r="AC45" s="159" t="n">
        <v>-17990.9028</v>
      </c>
      <c r="AD45" s="159" t="n">
        <v>-18350.720856</v>
      </c>
      <c r="AE45" s="159" t="n">
        <v>-18350.720856</v>
      </c>
      <c r="AF45" s="159" t="n">
        <v>-18350.720856</v>
      </c>
      <c r="AG45" s="159" t="n">
        <v>-18350.720856</v>
      </c>
      <c r="AH45" s="159" t="n">
        <v>-18350.720856</v>
      </c>
      <c r="AI45" s="159" t="n">
        <v>-18350.720856</v>
      </c>
      <c r="AJ45" s="159" t="n">
        <v>-18350.720856</v>
      </c>
      <c r="AK45" s="159" t="n">
        <v>-18350.720856</v>
      </c>
      <c r="AL45" s="159" t="n">
        <v>-18350.720856</v>
      </c>
      <c r="AM45" s="159" t="n">
        <v>-18350.720856</v>
      </c>
      <c r="AN45" s="159" t="n">
        <v>-18350.720856</v>
      </c>
      <c r="AO45" s="159" t="n">
        <v>-18350.720856</v>
      </c>
      <c r="AP45" s="159" t="n">
        <v>-18717.73527312</v>
      </c>
      <c r="AQ45" s="159" t="n">
        <v>-18717.73527312</v>
      </c>
      <c r="AR45" s="159" t="n">
        <v>-18717.73527312</v>
      </c>
      <c r="AS45" s="159" t="n">
        <v>-18717.73527312</v>
      </c>
      <c r="AT45" s="159" t="n">
        <v>-18717.73527312</v>
      </c>
      <c r="AU45" s="159" t="n">
        <v>-18717.73527312</v>
      </c>
      <c r="AV45" s="159" t="n">
        <v>-18717.73527312</v>
      </c>
      <c r="AW45" s="159" t="n">
        <v>-18717.73527312</v>
      </c>
      <c r="AX45" s="159" t="n">
        <v>-18717.73527312</v>
      </c>
      <c r="AY45" s="159" t="n">
        <v>-18717.73527312</v>
      </c>
      <c r="AZ45" s="159" t="n">
        <v>-18717.73527312</v>
      </c>
      <c r="BA45" s="159" t="n">
        <v>-18717.73527312</v>
      </c>
      <c r="BB45" s="159" t="n">
        <v>-19092.0899785824</v>
      </c>
      <c r="BC45" s="159" t="n">
        <v>-19092.0899785824</v>
      </c>
      <c r="BD45" s="159" t="n">
        <v>-19092.0899785824</v>
      </c>
      <c r="BE45" s="159" t="n">
        <v>-19092.0899785824</v>
      </c>
      <c r="BF45" s="159" t="n">
        <v>-19092.0899785824</v>
      </c>
      <c r="BG45" s="159" t="n">
        <v>-19092.0899785824</v>
      </c>
      <c r="BH45" s="159" t="n">
        <v>-19092.0899785824</v>
      </c>
      <c r="BI45" s="159" t="n">
        <v>-19092.0899785824</v>
      </c>
      <c r="BJ45" s="159" t="n">
        <v>-19092.0899785824</v>
      </c>
      <c r="BK45" s="159" t="n">
        <v>-19092.0899785824</v>
      </c>
      <c r="BL45" s="159" t="n">
        <v>-19092.0899785824</v>
      </c>
      <c r="BM45" s="159" t="n">
        <v>-19092.0899785824</v>
      </c>
      <c r="BN45" s="159" t="n">
        <v>-19473.9317781541</v>
      </c>
      <c r="BO45" s="159" t="n">
        <v>-19473.9317781541</v>
      </c>
      <c r="BP45" s="159" t="n">
        <v>-19473.9317781541</v>
      </c>
      <c r="BQ45" s="159" t="n">
        <v>-19473.9317781541</v>
      </c>
      <c r="BR45" s="159" t="n">
        <v>-19473.9317781541</v>
      </c>
      <c r="BS45" s="159" t="n">
        <v>-19473.9317781541</v>
      </c>
      <c r="BT45" s="159" t="n">
        <v>-19473.9317781541</v>
      </c>
      <c r="BU45" s="159" t="n">
        <v>-19473.9317781541</v>
      </c>
      <c r="BV45" s="159" t="n">
        <v>-19473.9317781541</v>
      </c>
      <c r="BW45" s="159" t="n">
        <v>-19473.9317781541</v>
      </c>
      <c r="BX45" s="159" t="n">
        <v>-19473.9317781541</v>
      </c>
      <c r="BY45" s="159" t="n">
        <v>-19473.9317781541</v>
      </c>
      <c r="BZ45" s="159" t="n">
        <v>-19863.4104137171</v>
      </c>
      <c r="CA45" s="159" t="n">
        <v>-19863.4104137171</v>
      </c>
      <c r="CB45" s="159" t="n">
        <v>-19863.4104137171</v>
      </c>
      <c r="CC45" s="159" t="n">
        <v>-19863.4104137171</v>
      </c>
      <c r="CD45" s="159" t="n">
        <v>-19863.4104137171</v>
      </c>
      <c r="CE45" s="159" t="n">
        <v>-19863.4104137171</v>
      </c>
      <c r="CF45" s="159" t="n">
        <v>-19863.4104137171</v>
      </c>
      <c r="CG45" s="159" t="n">
        <v>-19863.4104137171</v>
      </c>
      <c r="CH45" s="159" t="n">
        <v>-19863.4104137171</v>
      </c>
      <c r="CI45" s="159" t="n">
        <v>-19863.4104137171</v>
      </c>
      <c r="CJ45" s="159" t="n">
        <v>-19863.4104137171</v>
      </c>
      <c r="CK45" s="159" t="n">
        <v>-19863.4104137171</v>
      </c>
      <c r="CL45" s="159" t="n">
        <v>-20260.6786219915</v>
      </c>
      <c r="CM45" s="159" t="n">
        <v>-20260.6786219915</v>
      </c>
      <c r="CN45" s="159" t="n">
        <v>-20260.6786219915</v>
      </c>
      <c r="CO45" s="159" t="n">
        <v>-20260.6786219915</v>
      </c>
      <c r="CP45" s="159" t="n">
        <v>-20260.6786219915</v>
      </c>
      <c r="CQ45" s="159" t="n">
        <v>-20260.6786219915</v>
      </c>
      <c r="CR45" s="159" t="n">
        <v>-20260.6786219915</v>
      </c>
      <c r="CS45" s="159" t="n">
        <v>-20260.6786219915</v>
      </c>
      <c r="CT45" s="159" t="n">
        <v>-20260.6786219915</v>
      </c>
      <c r="CU45" s="159" t="n">
        <v>-20260.6786219915</v>
      </c>
      <c r="CV45" s="159" t="n">
        <v>-20260.6786219915</v>
      </c>
      <c r="CW45" s="159" t="n">
        <v>-20260.6786219915</v>
      </c>
      <c r="CX45" s="159" t="n">
        <v>-20665.8921944313</v>
      </c>
      <c r="CY45" s="159" t="n">
        <v>-20665.8921944313</v>
      </c>
      <c r="CZ45" s="159" t="n">
        <v>-20665.8921944313</v>
      </c>
      <c r="DA45" s="159" t="n">
        <v>-20665.8921944313</v>
      </c>
      <c r="DB45" s="159" t="n">
        <v>-20665.8921944313</v>
      </c>
      <c r="DC45" s="159" t="n">
        <v>-20665.8921944313</v>
      </c>
      <c r="DD45" s="159" t="n">
        <v>-20665.8921944313</v>
      </c>
      <c r="DE45" s="159" t="n">
        <v>-20665.8921944313</v>
      </c>
      <c r="DF45" s="159" t="n">
        <v>-20665.8921944313</v>
      </c>
    </row>
    <row r="46" customFormat="false" ht="15" hidden="false" customHeight="true" outlineLevel="0" collapsed="false">
      <c r="A46" s="99" t="s">
        <v>89</v>
      </c>
      <c r="C46" s="159" t="n">
        <v>-1909.98</v>
      </c>
      <c r="D46" s="159" t="n">
        <v>-190.1</v>
      </c>
      <c r="E46" s="159" t="n">
        <v>-2166.92</v>
      </c>
      <c r="F46" s="159" t="n">
        <v>-1422.33</v>
      </c>
      <c r="G46" s="159" t="n">
        <v>-1422.33</v>
      </c>
      <c r="H46" s="159" t="n">
        <v>-1422.33</v>
      </c>
      <c r="I46" s="159" t="n">
        <v>-1422.33</v>
      </c>
      <c r="J46" s="159" t="n">
        <v>-1422.33</v>
      </c>
      <c r="K46" s="159" t="n">
        <v>-1422.33</v>
      </c>
      <c r="L46" s="159" t="n">
        <v>-1422.33</v>
      </c>
      <c r="M46" s="159" t="n">
        <v>-1422.33</v>
      </c>
      <c r="N46" s="159" t="n">
        <v>-1422.33</v>
      </c>
      <c r="O46" s="159" t="n">
        <v>-1422.33</v>
      </c>
      <c r="P46" s="159" t="n">
        <v>-1422.33</v>
      </c>
      <c r="Q46" s="159" t="n">
        <v>-1422.33</v>
      </c>
      <c r="R46" s="159" t="n">
        <v>-1450.7766</v>
      </c>
      <c r="S46" s="159" t="n">
        <v>-1450.7766</v>
      </c>
      <c r="T46" s="159" t="n">
        <v>-1450.7766</v>
      </c>
      <c r="U46" s="159" t="n">
        <v>-1450.7766</v>
      </c>
      <c r="V46" s="159" t="n">
        <v>-1450.7766</v>
      </c>
      <c r="W46" s="159" t="n">
        <v>-1450.7766</v>
      </c>
      <c r="X46" s="159" t="n">
        <v>-1450.7766</v>
      </c>
      <c r="Y46" s="159" t="n">
        <v>-1450.7766</v>
      </c>
      <c r="Z46" s="159" t="n">
        <v>-1450.7766</v>
      </c>
      <c r="AA46" s="159" t="n">
        <v>-1450.7766</v>
      </c>
      <c r="AB46" s="159" t="n">
        <v>-1450.7766</v>
      </c>
      <c r="AC46" s="159" t="n">
        <v>-1450.7766</v>
      </c>
      <c r="AD46" s="159" t="n">
        <v>-1479.792132</v>
      </c>
      <c r="AE46" s="159" t="n">
        <v>-1479.792132</v>
      </c>
      <c r="AF46" s="159" t="n">
        <v>-1479.792132</v>
      </c>
      <c r="AG46" s="159" t="n">
        <v>-1479.792132</v>
      </c>
      <c r="AH46" s="159" t="n">
        <v>-1479.792132</v>
      </c>
      <c r="AI46" s="159" t="n">
        <v>-1479.792132</v>
      </c>
      <c r="AJ46" s="159" t="n">
        <v>-1479.792132</v>
      </c>
      <c r="AK46" s="159" t="n">
        <v>-1479.792132</v>
      </c>
      <c r="AL46" s="159" t="n">
        <v>-1479.792132</v>
      </c>
      <c r="AM46" s="159" t="n">
        <v>-1479.792132</v>
      </c>
      <c r="AN46" s="159" t="n">
        <v>-1479.792132</v>
      </c>
      <c r="AO46" s="159" t="n">
        <v>-1479.792132</v>
      </c>
      <c r="AP46" s="159" t="n">
        <v>-1509.38797464</v>
      </c>
      <c r="AQ46" s="159" t="n">
        <v>-1509.38797464</v>
      </c>
      <c r="AR46" s="159" t="n">
        <v>-1509.38797464</v>
      </c>
      <c r="AS46" s="159" t="n">
        <v>-1509.38797464</v>
      </c>
      <c r="AT46" s="159" t="n">
        <v>-1509.38797464</v>
      </c>
      <c r="AU46" s="159" t="n">
        <v>-1509.38797464</v>
      </c>
      <c r="AV46" s="159" t="n">
        <v>-1509.38797464</v>
      </c>
      <c r="AW46" s="159" t="n">
        <v>-1509.38797464</v>
      </c>
      <c r="AX46" s="159" t="n">
        <v>-1509.38797464</v>
      </c>
      <c r="AY46" s="159" t="n">
        <v>-1509.38797464</v>
      </c>
      <c r="AZ46" s="159" t="n">
        <v>-1509.38797464</v>
      </c>
      <c r="BA46" s="159" t="n">
        <v>-1509.38797464</v>
      </c>
      <c r="BB46" s="159" t="n">
        <v>-1539.5757341328</v>
      </c>
      <c r="BC46" s="159" t="n">
        <v>-1539.5757341328</v>
      </c>
      <c r="BD46" s="159" t="n">
        <v>-1539.5757341328</v>
      </c>
      <c r="BE46" s="159" t="n">
        <v>-1539.5757341328</v>
      </c>
      <c r="BF46" s="159" t="n">
        <v>-1539.5757341328</v>
      </c>
      <c r="BG46" s="159" t="n">
        <v>-1539.5757341328</v>
      </c>
      <c r="BH46" s="159" t="n">
        <v>-1539.5757341328</v>
      </c>
      <c r="BI46" s="159" t="n">
        <v>-1539.5757341328</v>
      </c>
      <c r="BJ46" s="159" t="n">
        <v>-1539.5757341328</v>
      </c>
      <c r="BK46" s="159" t="n">
        <v>-1539.5757341328</v>
      </c>
      <c r="BL46" s="159" t="n">
        <v>-1539.5757341328</v>
      </c>
      <c r="BM46" s="159" t="n">
        <v>-1539.5757341328</v>
      </c>
      <c r="BN46" s="159" t="n">
        <v>-1570.36724881546</v>
      </c>
      <c r="BO46" s="159" t="n">
        <v>-1570.36724881546</v>
      </c>
      <c r="BP46" s="159" t="n">
        <v>-1570.36724881546</v>
      </c>
      <c r="BQ46" s="159" t="n">
        <v>-1570.36724881546</v>
      </c>
      <c r="BR46" s="159" t="n">
        <v>-1570.36724881546</v>
      </c>
      <c r="BS46" s="159" t="n">
        <v>-1570.36724881546</v>
      </c>
      <c r="BT46" s="159" t="n">
        <v>-1570.36724881546</v>
      </c>
      <c r="BU46" s="159" t="n">
        <v>-1570.36724881546</v>
      </c>
      <c r="BV46" s="159" t="n">
        <v>-1570.36724881546</v>
      </c>
      <c r="BW46" s="159" t="n">
        <v>-1570.36724881546</v>
      </c>
      <c r="BX46" s="159" t="n">
        <v>-1570.36724881546</v>
      </c>
      <c r="BY46" s="159" t="n">
        <v>-1570.36724881546</v>
      </c>
      <c r="BZ46" s="159" t="n">
        <v>-1601.77459379177</v>
      </c>
      <c r="CA46" s="159" t="n">
        <v>-1601.77459379177</v>
      </c>
      <c r="CB46" s="159" t="n">
        <v>-1601.77459379177</v>
      </c>
      <c r="CC46" s="159" t="n">
        <v>-1601.77459379177</v>
      </c>
      <c r="CD46" s="159" t="n">
        <v>-1601.77459379177</v>
      </c>
      <c r="CE46" s="159" t="n">
        <v>-1601.77459379177</v>
      </c>
      <c r="CF46" s="159" t="n">
        <v>-1601.77459379177</v>
      </c>
      <c r="CG46" s="159" t="n">
        <v>-1601.77459379177</v>
      </c>
      <c r="CH46" s="159" t="n">
        <v>-1601.77459379177</v>
      </c>
      <c r="CI46" s="159" t="n">
        <v>-1601.77459379177</v>
      </c>
      <c r="CJ46" s="159" t="n">
        <v>-1601.77459379177</v>
      </c>
      <c r="CK46" s="159" t="n">
        <v>-1601.77459379177</v>
      </c>
      <c r="CL46" s="159" t="n">
        <v>-1633.8100856676</v>
      </c>
      <c r="CM46" s="159" t="n">
        <v>-1633.8100856676</v>
      </c>
      <c r="CN46" s="159" t="n">
        <v>-1633.8100856676</v>
      </c>
      <c r="CO46" s="159" t="n">
        <v>-1633.8100856676</v>
      </c>
      <c r="CP46" s="159" t="n">
        <v>-1633.8100856676</v>
      </c>
      <c r="CQ46" s="159" t="n">
        <v>-1633.8100856676</v>
      </c>
      <c r="CR46" s="159" t="n">
        <v>-1633.8100856676</v>
      </c>
      <c r="CS46" s="159" t="n">
        <v>-1633.8100856676</v>
      </c>
      <c r="CT46" s="159" t="n">
        <v>-1633.8100856676</v>
      </c>
      <c r="CU46" s="159" t="n">
        <v>-1633.8100856676</v>
      </c>
      <c r="CV46" s="159" t="n">
        <v>-1633.8100856676</v>
      </c>
      <c r="CW46" s="159" t="n">
        <v>-1633.8100856676</v>
      </c>
      <c r="CX46" s="159" t="n">
        <v>-1666.48628738095</v>
      </c>
      <c r="CY46" s="159" t="n">
        <v>-1666.48628738095</v>
      </c>
      <c r="CZ46" s="159" t="n">
        <v>-1666.48628738095</v>
      </c>
      <c r="DA46" s="159" t="n">
        <v>-1666.48628738095</v>
      </c>
      <c r="DB46" s="159" t="n">
        <v>-1666.48628738095</v>
      </c>
      <c r="DC46" s="159" t="n">
        <v>-1666.48628738095</v>
      </c>
      <c r="DD46" s="159" t="n">
        <v>-1666.48628738095</v>
      </c>
      <c r="DE46" s="159" t="n">
        <v>-1666.48628738095</v>
      </c>
      <c r="DF46" s="159" t="n">
        <v>-1666.48628738095</v>
      </c>
    </row>
    <row r="47" customFormat="false" ht="15" hidden="false" customHeight="true" outlineLevel="0" collapsed="false">
      <c r="A47" s="99" t="s">
        <v>90</v>
      </c>
      <c r="C47" s="159" t="n">
        <v>-320</v>
      </c>
      <c r="D47" s="159" t="n">
        <v>-160</v>
      </c>
      <c r="E47" s="159" t="n">
        <v>0</v>
      </c>
      <c r="F47" s="159" t="n">
        <v>-160</v>
      </c>
      <c r="G47" s="159" t="n">
        <v>-160</v>
      </c>
      <c r="H47" s="159" t="n">
        <v>-160</v>
      </c>
      <c r="I47" s="159" t="n">
        <v>-160</v>
      </c>
      <c r="J47" s="159" t="n">
        <v>-160</v>
      </c>
      <c r="K47" s="159" t="n">
        <v>-160</v>
      </c>
      <c r="L47" s="159" t="n">
        <v>-160</v>
      </c>
      <c r="M47" s="159" t="n">
        <v>-160</v>
      </c>
      <c r="N47" s="159" t="n">
        <v>-160</v>
      </c>
      <c r="O47" s="159" t="n">
        <v>-160</v>
      </c>
      <c r="P47" s="159" t="n">
        <v>-160</v>
      </c>
      <c r="Q47" s="159" t="n">
        <v>-160</v>
      </c>
      <c r="R47" s="159" t="n">
        <v>-163.2</v>
      </c>
      <c r="S47" s="159" t="n">
        <v>-163.2</v>
      </c>
      <c r="T47" s="159" t="n">
        <v>-163.2</v>
      </c>
      <c r="U47" s="159" t="n">
        <v>-163.2</v>
      </c>
      <c r="V47" s="159" t="n">
        <v>-163.2</v>
      </c>
      <c r="W47" s="159" t="n">
        <v>-163.2</v>
      </c>
      <c r="X47" s="159" t="n">
        <v>-163.2</v>
      </c>
      <c r="Y47" s="159" t="n">
        <v>-163.2</v>
      </c>
      <c r="Z47" s="159" t="n">
        <v>-163.2</v>
      </c>
      <c r="AA47" s="159" t="n">
        <v>-163.2</v>
      </c>
      <c r="AB47" s="159" t="n">
        <v>-163.2</v>
      </c>
      <c r="AC47" s="159" t="n">
        <v>-163.2</v>
      </c>
      <c r="AD47" s="159" t="n">
        <v>-166.464</v>
      </c>
      <c r="AE47" s="159" t="n">
        <v>-166.464</v>
      </c>
      <c r="AF47" s="159" t="n">
        <v>-166.464</v>
      </c>
      <c r="AG47" s="159" t="n">
        <v>-166.464</v>
      </c>
      <c r="AH47" s="159" t="n">
        <v>-166.464</v>
      </c>
      <c r="AI47" s="159" t="n">
        <v>-166.464</v>
      </c>
      <c r="AJ47" s="159" t="n">
        <v>-166.464</v>
      </c>
      <c r="AK47" s="159" t="n">
        <v>-166.464</v>
      </c>
      <c r="AL47" s="159" t="n">
        <v>-166.464</v>
      </c>
      <c r="AM47" s="159" t="n">
        <v>-166.464</v>
      </c>
      <c r="AN47" s="159" t="n">
        <v>-166.464</v>
      </c>
      <c r="AO47" s="159" t="n">
        <v>-166.464</v>
      </c>
      <c r="AP47" s="159" t="n">
        <v>-169.79328</v>
      </c>
      <c r="AQ47" s="159" t="n">
        <v>-169.79328</v>
      </c>
      <c r="AR47" s="159" t="n">
        <v>-169.79328</v>
      </c>
      <c r="AS47" s="159" t="n">
        <v>-169.79328</v>
      </c>
      <c r="AT47" s="159" t="n">
        <v>-169.79328</v>
      </c>
      <c r="AU47" s="159" t="n">
        <v>-169.79328</v>
      </c>
      <c r="AV47" s="159" t="n">
        <v>-169.79328</v>
      </c>
      <c r="AW47" s="159" t="n">
        <v>-169.79328</v>
      </c>
      <c r="AX47" s="159" t="n">
        <v>-169.79328</v>
      </c>
      <c r="AY47" s="159" t="n">
        <v>-169.79328</v>
      </c>
      <c r="AZ47" s="159" t="n">
        <v>-169.79328</v>
      </c>
      <c r="BA47" s="159" t="n">
        <v>-169.79328</v>
      </c>
      <c r="BB47" s="159" t="n">
        <v>-173.1891456</v>
      </c>
      <c r="BC47" s="159" t="n">
        <v>-173.1891456</v>
      </c>
      <c r="BD47" s="159" t="n">
        <v>-173.1891456</v>
      </c>
      <c r="BE47" s="159" t="n">
        <v>-173.1891456</v>
      </c>
      <c r="BF47" s="159" t="n">
        <v>-173.1891456</v>
      </c>
      <c r="BG47" s="159" t="n">
        <v>-173.1891456</v>
      </c>
      <c r="BH47" s="159" t="n">
        <v>-173.1891456</v>
      </c>
      <c r="BI47" s="159" t="n">
        <v>-173.1891456</v>
      </c>
      <c r="BJ47" s="159" t="n">
        <v>-173.1891456</v>
      </c>
      <c r="BK47" s="159" t="n">
        <v>-173.1891456</v>
      </c>
      <c r="BL47" s="159" t="n">
        <v>-173.1891456</v>
      </c>
      <c r="BM47" s="159" t="n">
        <v>-173.1891456</v>
      </c>
      <c r="BN47" s="159" t="n">
        <v>-176.652928512</v>
      </c>
      <c r="BO47" s="159" t="n">
        <v>-176.652928512</v>
      </c>
      <c r="BP47" s="159" t="n">
        <v>-176.652928512</v>
      </c>
      <c r="BQ47" s="159" t="n">
        <v>-176.652928512</v>
      </c>
      <c r="BR47" s="159" t="n">
        <v>-176.652928512</v>
      </c>
      <c r="BS47" s="159" t="n">
        <v>-176.652928512</v>
      </c>
      <c r="BT47" s="159" t="n">
        <v>-176.652928512</v>
      </c>
      <c r="BU47" s="159" t="n">
        <v>-176.652928512</v>
      </c>
      <c r="BV47" s="159" t="n">
        <v>-176.652928512</v>
      </c>
      <c r="BW47" s="159" t="n">
        <v>-176.652928512</v>
      </c>
      <c r="BX47" s="159" t="n">
        <v>-176.652928512</v>
      </c>
      <c r="BY47" s="159" t="n">
        <v>-176.652928512</v>
      </c>
      <c r="BZ47" s="159" t="n">
        <v>-180.18598708224</v>
      </c>
      <c r="CA47" s="159" t="n">
        <v>-180.18598708224</v>
      </c>
      <c r="CB47" s="159" t="n">
        <v>-180.18598708224</v>
      </c>
      <c r="CC47" s="159" t="n">
        <v>-180.18598708224</v>
      </c>
      <c r="CD47" s="159" t="n">
        <v>-180.18598708224</v>
      </c>
      <c r="CE47" s="159" t="n">
        <v>-180.18598708224</v>
      </c>
      <c r="CF47" s="159" t="n">
        <v>-180.18598708224</v>
      </c>
      <c r="CG47" s="159" t="n">
        <v>-180.18598708224</v>
      </c>
      <c r="CH47" s="159" t="n">
        <v>-180.18598708224</v>
      </c>
      <c r="CI47" s="159" t="n">
        <v>-180.18598708224</v>
      </c>
      <c r="CJ47" s="159" t="n">
        <v>-180.18598708224</v>
      </c>
      <c r="CK47" s="159" t="n">
        <v>-180.18598708224</v>
      </c>
      <c r="CL47" s="159" t="n">
        <v>-183.789706823885</v>
      </c>
      <c r="CM47" s="159" t="n">
        <v>-183.789706823885</v>
      </c>
      <c r="CN47" s="159" t="n">
        <v>-183.789706823885</v>
      </c>
      <c r="CO47" s="159" t="n">
        <v>-183.789706823885</v>
      </c>
      <c r="CP47" s="159" t="n">
        <v>-183.789706823885</v>
      </c>
      <c r="CQ47" s="159" t="n">
        <v>-183.789706823885</v>
      </c>
      <c r="CR47" s="159" t="n">
        <v>-183.789706823885</v>
      </c>
      <c r="CS47" s="159" t="n">
        <v>-183.789706823885</v>
      </c>
      <c r="CT47" s="159" t="n">
        <v>-183.789706823885</v>
      </c>
      <c r="CU47" s="159" t="n">
        <v>-183.789706823885</v>
      </c>
      <c r="CV47" s="159" t="n">
        <v>-183.789706823885</v>
      </c>
      <c r="CW47" s="159" t="n">
        <v>-183.789706823885</v>
      </c>
      <c r="CX47" s="159" t="n">
        <v>-187.465500960363</v>
      </c>
      <c r="CY47" s="159" t="n">
        <v>-187.465500960363</v>
      </c>
      <c r="CZ47" s="159" t="n">
        <v>-187.465500960363</v>
      </c>
      <c r="DA47" s="159" t="n">
        <v>-187.465500960363</v>
      </c>
      <c r="DB47" s="159" t="n">
        <v>-187.465500960363</v>
      </c>
      <c r="DC47" s="159" t="n">
        <v>-187.465500960363</v>
      </c>
      <c r="DD47" s="159" t="n">
        <v>-187.465500960363</v>
      </c>
      <c r="DE47" s="159" t="n">
        <v>-187.465500960363</v>
      </c>
      <c r="DF47" s="159" t="n">
        <v>-187.465500960363</v>
      </c>
    </row>
    <row r="48" customFormat="false" ht="15" hidden="false" customHeight="true" outlineLevel="0" collapsed="false">
      <c r="A48" s="99" t="s">
        <v>91</v>
      </c>
      <c r="C48" s="159" t="n">
        <v>-17660.72</v>
      </c>
      <c r="D48" s="159" t="n">
        <v>-5799</v>
      </c>
      <c r="E48" s="159" t="n">
        <v>-3432.18</v>
      </c>
      <c r="F48" s="159" t="n">
        <v>-5000</v>
      </c>
      <c r="G48" s="159" t="n">
        <v>-5000</v>
      </c>
      <c r="H48" s="159" t="n">
        <v>-5000</v>
      </c>
      <c r="I48" s="159" t="n">
        <v>-5000</v>
      </c>
      <c r="J48" s="159" t="n">
        <v>-5000</v>
      </c>
      <c r="K48" s="159" t="n">
        <v>-5000</v>
      </c>
      <c r="L48" s="159" t="n">
        <v>-5000</v>
      </c>
      <c r="M48" s="159" t="n">
        <v>-5000</v>
      </c>
      <c r="N48" s="159" t="n">
        <v>-5000</v>
      </c>
      <c r="O48" s="159" t="n">
        <v>-5000</v>
      </c>
      <c r="P48" s="159" t="n">
        <v>-5000</v>
      </c>
      <c r="Q48" s="159" t="n">
        <v>-5000</v>
      </c>
      <c r="R48" s="159" t="n">
        <v>-5100</v>
      </c>
      <c r="S48" s="159" t="n">
        <v>-5100</v>
      </c>
      <c r="T48" s="159" t="n">
        <v>-5100</v>
      </c>
      <c r="U48" s="159" t="n">
        <v>-5100</v>
      </c>
      <c r="V48" s="159" t="n">
        <v>-5100</v>
      </c>
      <c r="W48" s="159" t="n">
        <v>-5100</v>
      </c>
      <c r="X48" s="159" t="n">
        <v>-5100</v>
      </c>
      <c r="Y48" s="159" t="n">
        <v>-5100</v>
      </c>
      <c r="Z48" s="159" t="n">
        <v>-5100</v>
      </c>
      <c r="AA48" s="159" t="n">
        <v>-5100</v>
      </c>
      <c r="AB48" s="159" t="n">
        <v>-5100</v>
      </c>
      <c r="AC48" s="159" t="n">
        <v>-5100</v>
      </c>
      <c r="AD48" s="159" t="n">
        <v>-5202</v>
      </c>
      <c r="AE48" s="159" t="n">
        <v>-5202</v>
      </c>
      <c r="AF48" s="159" t="n">
        <v>-5202</v>
      </c>
      <c r="AG48" s="159" t="n">
        <v>-5202</v>
      </c>
      <c r="AH48" s="159" t="n">
        <v>-5202</v>
      </c>
      <c r="AI48" s="159" t="n">
        <v>-5202</v>
      </c>
      <c r="AJ48" s="159" t="n">
        <v>-5202</v>
      </c>
      <c r="AK48" s="159" t="n">
        <v>-5202</v>
      </c>
      <c r="AL48" s="159" t="n">
        <v>-5202</v>
      </c>
      <c r="AM48" s="159" t="n">
        <v>-5202</v>
      </c>
      <c r="AN48" s="159" t="n">
        <v>-5202</v>
      </c>
      <c r="AO48" s="159" t="n">
        <v>-5202</v>
      </c>
      <c r="AP48" s="159" t="n">
        <v>-5306.04</v>
      </c>
      <c r="AQ48" s="159" t="n">
        <v>-5306.04</v>
      </c>
      <c r="AR48" s="159" t="n">
        <v>-5306.04</v>
      </c>
      <c r="AS48" s="159" t="n">
        <v>-5306.04</v>
      </c>
      <c r="AT48" s="159" t="n">
        <v>-5306.04</v>
      </c>
      <c r="AU48" s="159" t="n">
        <v>-5306.04</v>
      </c>
      <c r="AV48" s="159" t="n">
        <v>-5306.04</v>
      </c>
      <c r="AW48" s="159" t="n">
        <v>-5306.04</v>
      </c>
      <c r="AX48" s="159" t="n">
        <v>-5306.04</v>
      </c>
      <c r="AY48" s="159" t="n">
        <v>-5306.04</v>
      </c>
      <c r="AZ48" s="159" t="n">
        <v>-5306.04</v>
      </c>
      <c r="BA48" s="159" t="n">
        <v>-5306.04</v>
      </c>
      <c r="BB48" s="159" t="n">
        <v>-5412.1608</v>
      </c>
      <c r="BC48" s="159" t="n">
        <v>-5412.1608</v>
      </c>
      <c r="BD48" s="159" t="n">
        <v>-5412.1608</v>
      </c>
      <c r="BE48" s="159" t="n">
        <v>-5412.1608</v>
      </c>
      <c r="BF48" s="159" t="n">
        <v>-5412.1608</v>
      </c>
      <c r="BG48" s="159" t="n">
        <v>-5412.1608</v>
      </c>
      <c r="BH48" s="159" t="n">
        <v>-5412.1608</v>
      </c>
      <c r="BI48" s="159" t="n">
        <v>-5412.1608</v>
      </c>
      <c r="BJ48" s="159" t="n">
        <v>-5412.1608</v>
      </c>
      <c r="BK48" s="159" t="n">
        <v>-5412.1608</v>
      </c>
      <c r="BL48" s="159" t="n">
        <v>-5412.1608</v>
      </c>
      <c r="BM48" s="159" t="n">
        <v>-5412.1608</v>
      </c>
      <c r="BN48" s="159" t="n">
        <v>-5520.404016</v>
      </c>
      <c r="BO48" s="159" t="n">
        <v>-5520.404016</v>
      </c>
      <c r="BP48" s="159" t="n">
        <v>-5520.404016</v>
      </c>
      <c r="BQ48" s="159" t="n">
        <v>-5520.404016</v>
      </c>
      <c r="BR48" s="159" t="n">
        <v>-5520.404016</v>
      </c>
      <c r="BS48" s="159" t="n">
        <v>-5520.404016</v>
      </c>
      <c r="BT48" s="159" t="n">
        <v>-5520.404016</v>
      </c>
      <c r="BU48" s="159" t="n">
        <v>-5520.404016</v>
      </c>
      <c r="BV48" s="159" t="n">
        <v>-5520.404016</v>
      </c>
      <c r="BW48" s="159" t="n">
        <v>-5520.404016</v>
      </c>
      <c r="BX48" s="159" t="n">
        <v>-5520.404016</v>
      </c>
      <c r="BY48" s="159" t="n">
        <v>-5520.404016</v>
      </c>
      <c r="BZ48" s="159" t="n">
        <v>-5630.81209632</v>
      </c>
      <c r="CA48" s="159" t="n">
        <v>-5630.81209632</v>
      </c>
      <c r="CB48" s="159" t="n">
        <v>-5630.81209632</v>
      </c>
      <c r="CC48" s="159" t="n">
        <v>-5630.81209632</v>
      </c>
      <c r="CD48" s="159" t="n">
        <v>-5630.81209632</v>
      </c>
      <c r="CE48" s="159" t="n">
        <v>-5630.81209632</v>
      </c>
      <c r="CF48" s="159" t="n">
        <v>-5630.81209632</v>
      </c>
      <c r="CG48" s="159" t="n">
        <v>-5630.81209632</v>
      </c>
      <c r="CH48" s="159" t="n">
        <v>-5630.81209632</v>
      </c>
      <c r="CI48" s="159" t="n">
        <v>-5630.81209632</v>
      </c>
      <c r="CJ48" s="159" t="n">
        <v>-5630.81209632</v>
      </c>
      <c r="CK48" s="159" t="n">
        <v>-5630.81209632</v>
      </c>
      <c r="CL48" s="159" t="n">
        <v>-5743.4283382464</v>
      </c>
      <c r="CM48" s="159" t="n">
        <v>-5743.4283382464</v>
      </c>
      <c r="CN48" s="159" t="n">
        <v>-5743.4283382464</v>
      </c>
      <c r="CO48" s="159" t="n">
        <v>-5743.4283382464</v>
      </c>
      <c r="CP48" s="159" t="n">
        <v>-5743.4283382464</v>
      </c>
      <c r="CQ48" s="159" t="n">
        <v>-5743.4283382464</v>
      </c>
      <c r="CR48" s="159" t="n">
        <v>-5743.4283382464</v>
      </c>
      <c r="CS48" s="159" t="n">
        <v>-5743.4283382464</v>
      </c>
      <c r="CT48" s="159" t="n">
        <v>-5743.4283382464</v>
      </c>
      <c r="CU48" s="159" t="n">
        <v>-5743.4283382464</v>
      </c>
      <c r="CV48" s="159" t="n">
        <v>-5743.4283382464</v>
      </c>
      <c r="CW48" s="159" t="n">
        <v>-5743.4283382464</v>
      </c>
      <c r="CX48" s="159" t="n">
        <v>-5858.29690501133</v>
      </c>
      <c r="CY48" s="159" t="n">
        <v>-5858.29690501133</v>
      </c>
      <c r="CZ48" s="159" t="n">
        <v>-5858.29690501133</v>
      </c>
      <c r="DA48" s="159" t="n">
        <v>-5858.29690501133</v>
      </c>
      <c r="DB48" s="159" t="n">
        <v>-5858.29690501133</v>
      </c>
      <c r="DC48" s="159" t="n">
        <v>-5858.29690501133</v>
      </c>
      <c r="DD48" s="159" t="n">
        <v>-5858.29690501133</v>
      </c>
      <c r="DE48" s="159" t="n">
        <v>-5858.29690501133</v>
      </c>
      <c r="DF48" s="159" t="n">
        <v>-5858.29690501133</v>
      </c>
    </row>
    <row r="49" customFormat="false" ht="15" hidden="false" customHeight="true" outlineLevel="0" collapsed="false">
      <c r="A49" s="99" t="s">
        <v>92</v>
      </c>
      <c r="C49" s="159" t="n">
        <v>-304</v>
      </c>
      <c r="D49" s="159" t="n">
        <v>-644.81</v>
      </c>
      <c r="E49" s="159" t="n">
        <v>-304</v>
      </c>
      <c r="F49" s="160" t="n">
        <v>-417.6</v>
      </c>
      <c r="G49" s="160" t="n">
        <v>-417.6</v>
      </c>
      <c r="H49" s="160" t="n">
        <v>-417.6</v>
      </c>
      <c r="I49" s="160" t="n">
        <v>-417.6</v>
      </c>
      <c r="J49" s="160" t="n">
        <v>-417.6</v>
      </c>
      <c r="K49" s="160" t="n">
        <v>-417.6</v>
      </c>
      <c r="L49" s="160" t="n">
        <v>-417.6</v>
      </c>
      <c r="M49" s="160" t="n">
        <v>-417.6</v>
      </c>
      <c r="N49" s="160" t="n">
        <v>-417.6</v>
      </c>
      <c r="O49" s="160" t="n">
        <v>-417.6</v>
      </c>
      <c r="P49" s="160" t="n">
        <v>-417.6</v>
      </c>
      <c r="Q49" s="160" t="n">
        <v>-417.6</v>
      </c>
      <c r="R49" s="160" t="n">
        <v>-425.952</v>
      </c>
      <c r="S49" s="160" t="n">
        <v>-425.952</v>
      </c>
      <c r="T49" s="160" t="n">
        <v>-425.952</v>
      </c>
      <c r="U49" s="160" t="n">
        <v>-425.952</v>
      </c>
      <c r="V49" s="160" t="n">
        <v>-425.952</v>
      </c>
      <c r="W49" s="160" t="n">
        <v>-425.952</v>
      </c>
      <c r="X49" s="160" t="n">
        <v>-425.952</v>
      </c>
      <c r="Y49" s="160" t="n">
        <v>-425.952</v>
      </c>
      <c r="Z49" s="160" t="n">
        <v>-425.952</v>
      </c>
      <c r="AA49" s="160" t="n">
        <v>-425.952</v>
      </c>
      <c r="AB49" s="160" t="n">
        <v>-425.952</v>
      </c>
      <c r="AC49" s="160" t="n">
        <v>-425.952</v>
      </c>
      <c r="AD49" s="160" t="n">
        <v>-434.47104</v>
      </c>
      <c r="AE49" s="160" t="n">
        <v>-434.47104</v>
      </c>
      <c r="AF49" s="160" t="n">
        <v>-434.47104</v>
      </c>
      <c r="AG49" s="160" t="n">
        <v>-434.47104</v>
      </c>
      <c r="AH49" s="160" t="n">
        <v>-434.47104</v>
      </c>
      <c r="AI49" s="160" t="n">
        <v>-434.47104</v>
      </c>
      <c r="AJ49" s="160" t="n">
        <v>-434.47104</v>
      </c>
      <c r="AK49" s="160" t="n">
        <v>-434.47104</v>
      </c>
      <c r="AL49" s="160" t="n">
        <v>-434.47104</v>
      </c>
      <c r="AM49" s="160" t="n">
        <v>-434.47104</v>
      </c>
      <c r="AN49" s="160" t="n">
        <v>-434.47104</v>
      </c>
      <c r="AO49" s="160" t="n">
        <v>-434.47104</v>
      </c>
      <c r="AP49" s="160" t="n">
        <v>-443.1604608</v>
      </c>
      <c r="AQ49" s="160" t="n">
        <v>-443.1604608</v>
      </c>
      <c r="AR49" s="160" t="n">
        <v>-443.1604608</v>
      </c>
      <c r="AS49" s="160" t="n">
        <v>-443.1604608</v>
      </c>
      <c r="AT49" s="160" t="n">
        <v>-443.1604608</v>
      </c>
      <c r="AU49" s="160" t="n">
        <v>-443.1604608</v>
      </c>
      <c r="AV49" s="160" t="n">
        <v>-443.1604608</v>
      </c>
      <c r="AW49" s="160" t="n">
        <v>-443.1604608</v>
      </c>
      <c r="AX49" s="160" t="n">
        <v>-443.1604608</v>
      </c>
      <c r="AY49" s="160" t="n">
        <v>-443.1604608</v>
      </c>
      <c r="AZ49" s="160" t="n">
        <v>-443.1604608</v>
      </c>
      <c r="BA49" s="160" t="n">
        <v>-443.1604608</v>
      </c>
      <c r="BB49" s="160" t="n">
        <v>-452.023670016</v>
      </c>
      <c r="BC49" s="160" t="n">
        <v>-452.023670016</v>
      </c>
      <c r="BD49" s="160" t="n">
        <v>-452.023670016</v>
      </c>
      <c r="BE49" s="160" t="n">
        <v>-452.023670016</v>
      </c>
      <c r="BF49" s="160" t="n">
        <v>-452.023670016</v>
      </c>
      <c r="BG49" s="160" t="n">
        <v>-452.023670016</v>
      </c>
      <c r="BH49" s="160" t="n">
        <v>-452.023670016</v>
      </c>
      <c r="BI49" s="160" t="n">
        <v>-452.023670016</v>
      </c>
      <c r="BJ49" s="160" t="n">
        <v>-452.023670016</v>
      </c>
      <c r="BK49" s="160" t="n">
        <v>-452.023670016</v>
      </c>
      <c r="BL49" s="160" t="n">
        <v>-452.023670016</v>
      </c>
      <c r="BM49" s="160" t="n">
        <v>-452.023670016</v>
      </c>
      <c r="BN49" s="160" t="n">
        <v>-461.06414341632</v>
      </c>
      <c r="BO49" s="160" t="n">
        <v>-461.06414341632</v>
      </c>
      <c r="BP49" s="160" t="n">
        <v>-461.06414341632</v>
      </c>
      <c r="BQ49" s="160" t="n">
        <v>-461.06414341632</v>
      </c>
      <c r="BR49" s="160" t="n">
        <v>-461.06414341632</v>
      </c>
      <c r="BS49" s="160" t="n">
        <v>-461.06414341632</v>
      </c>
      <c r="BT49" s="160" t="n">
        <v>-461.06414341632</v>
      </c>
      <c r="BU49" s="160" t="n">
        <v>-461.06414341632</v>
      </c>
      <c r="BV49" s="160" t="n">
        <v>-461.06414341632</v>
      </c>
      <c r="BW49" s="160" t="n">
        <v>-461.06414341632</v>
      </c>
      <c r="BX49" s="160" t="n">
        <v>-461.06414341632</v>
      </c>
      <c r="BY49" s="160" t="n">
        <v>-461.06414341632</v>
      </c>
      <c r="BZ49" s="160" t="n">
        <v>-470.285426284646</v>
      </c>
      <c r="CA49" s="160" t="n">
        <v>-470.285426284646</v>
      </c>
      <c r="CB49" s="160" t="n">
        <v>-470.285426284646</v>
      </c>
      <c r="CC49" s="160" t="n">
        <v>-470.285426284646</v>
      </c>
      <c r="CD49" s="160" t="n">
        <v>-470.285426284646</v>
      </c>
      <c r="CE49" s="160" t="n">
        <v>-470.285426284646</v>
      </c>
      <c r="CF49" s="160" t="n">
        <v>-470.285426284646</v>
      </c>
      <c r="CG49" s="160" t="n">
        <v>-470.285426284646</v>
      </c>
      <c r="CH49" s="160" t="n">
        <v>-470.285426284646</v>
      </c>
      <c r="CI49" s="160" t="n">
        <v>-470.285426284646</v>
      </c>
      <c r="CJ49" s="160" t="n">
        <v>-470.285426284646</v>
      </c>
      <c r="CK49" s="160" t="n">
        <v>-470.285426284646</v>
      </c>
      <c r="CL49" s="160" t="n">
        <v>-479.691134810339</v>
      </c>
      <c r="CM49" s="160" t="n">
        <v>-479.691134810339</v>
      </c>
      <c r="CN49" s="160" t="n">
        <v>-479.691134810339</v>
      </c>
      <c r="CO49" s="160" t="n">
        <v>-479.691134810339</v>
      </c>
      <c r="CP49" s="160" t="n">
        <v>-479.691134810339</v>
      </c>
      <c r="CQ49" s="160" t="n">
        <v>-479.691134810339</v>
      </c>
      <c r="CR49" s="160" t="n">
        <v>-479.691134810339</v>
      </c>
      <c r="CS49" s="160" t="n">
        <v>-479.691134810339</v>
      </c>
      <c r="CT49" s="160" t="n">
        <v>-479.691134810339</v>
      </c>
      <c r="CU49" s="160" t="n">
        <v>-479.691134810339</v>
      </c>
      <c r="CV49" s="160" t="n">
        <v>-479.691134810339</v>
      </c>
      <c r="CW49" s="160" t="n">
        <v>-479.691134810339</v>
      </c>
      <c r="CX49" s="160" t="n">
        <v>-489.284957506546</v>
      </c>
      <c r="CY49" s="160" t="n">
        <v>-489.284957506546</v>
      </c>
      <c r="CZ49" s="160" t="n">
        <v>-489.284957506546</v>
      </c>
      <c r="DA49" s="160" t="n">
        <v>-489.284957506546</v>
      </c>
      <c r="DB49" s="160" t="n">
        <v>-489.284957506546</v>
      </c>
      <c r="DC49" s="160" t="n">
        <v>-489.284957506546</v>
      </c>
      <c r="DD49" s="160" t="n">
        <v>-489.284957506546</v>
      </c>
      <c r="DE49" s="160" t="n">
        <v>-489.284957506546</v>
      </c>
      <c r="DF49" s="160" t="n">
        <v>-489.284957506546</v>
      </c>
    </row>
    <row r="50" customFormat="false" ht="15" hidden="false" customHeight="true" outlineLevel="0" collapsed="false">
      <c r="A50" s="99" t="s">
        <v>93</v>
      </c>
      <c r="C50" s="159" t="n">
        <v>0</v>
      </c>
      <c r="D50" s="159" t="n">
        <v>-75</v>
      </c>
      <c r="E50" s="159" t="n">
        <v>-5</v>
      </c>
      <c r="F50" s="160" t="n">
        <v>-26.67</v>
      </c>
      <c r="G50" s="160" t="n">
        <v>-26.67</v>
      </c>
      <c r="H50" s="160" t="n">
        <v>-26.67</v>
      </c>
      <c r="I50" s="160" t="n">
        <v>-26.67</v>
      </c>
      <c r="J50" s="160" t="n">
        <v>-26.67</v>
      </c>
      <c r="K50" s="160" t="n">
        <v>-26.67</v>
      </c>
      <c r="L50" s="160" t="n">
        <v>-26.67</v>
      </c>
      <c r="M50" s="160" t="n">
        <v>-26.67</v>
      </c>
      <c r="N50" s="160" t="n">
        <v>-26.67</v>
      </c>
      <c r="O50" s="160" t="n">
        <v>-26.67</v>
      </c>
      <c r="P50" s="160" t="n">
        <v>-26.67</v>
      </c>
      <c r="Q50" s="160" t="n">
        <v>-26.67</v>
      </c>
      <c r="R50" s="160" t="n">
        <v>-27.2034</v>
      </c>
      <c r="S50" s="160" t="n">
        <v>-27.2034</v>
      </c>
      <c r="T50" s="160" t="n">
        <v>-27.2034</v>
      </c>
      <c r="U50" s="160" t="n">
        <v>-27.2034</v>
      </c>
      <c r="V50" s="160" t="n">
        <v>-27.2034</v>
      </c>
      <c r="W50" s="160" t="n">
        <v>-27.2034</v>
      </c>
      <c r="X50" s="160" t="n">
        <v>-27.2034</v>
      </c>
      <c r="Y50" s="160" t="n">
        <v>-27.2034</v>
      </c>
      <c r="Z50" s="160" t="n">
        <v>-27.2034</v>
      </c>
      <c r="AA50" s="160" t="n">
        <v>-27.2034</v>
      </c>
      <c r="AB50" s="160" t="n">
        <v>-27.2034</v>
      </c>
      <c r="AC50" s="160" t="n">
        <v>-27.2034</v>
      </c>
      <c r="AD50" s="160" t="n">
        <v>-27.747468</v>
      </c>
      <c r="AE50" s="160" t="n">
        <v>-27.747468</v>
      </c>
      <c r="AF50" s="160" t="n">
        <v>-27.747468</v>
      </c>
      <c r="AG50" s="160" t="n">
        <v>-27.747468</v>
      </c>
      <c r="AH50" s="160" t="n">
        <v>-27.747468</v>
      </c>
      <c r="AI50" s="160" t="n">
        <v>-27.747468</v>
      </c>
      <c r="AJ50" s="160" t="n">
        <v>-27.747468</v>
      </c>
      <c r="AK50" s="160" t="n">
        <v>-27.747468</v>
      </c>
      <c r="AL50" s="160" t="n">
        <v>-27.747468</v>
      </c>
      <c r="AM50" s="160" t="n">
        <v>-27.747468</v>
      </c>
      <c r="AN50" s="160" t="n">
        <v>-27.747468</v>
      </c>
      <c r="AO50" s="160" t="n">
        <v>-27.747468</v>
      </c>
      <c r="AP50" s="160" t="n">
        <v>-28.30241736</v>
      </c>
      <c r="AQ50" s="160" t="n">
        <v>-28.30241736</v>
      </c>
      <c r="AR50" s="160" t="n">
        <v>-28.30241736</v>
      </c>
      <c r="AS50" s="160" t="n">
        <v>-28.30241736</v>
      </c>
      <c r="AT50" s="160" t="n">
        <v>-28.30241736</v>
      </c>
      <c r="AU50" s="160" t="n">
        <v>-28.30241736</v>
      </c>
      <c r="AV50" s="160" t="n">
        <v>-28.30241736</v>
      </c>
      <c r="AW50" s="160" t="n">
        <v>-28.30241736</v>
      </c>
      <c r="AX50" s="160" t="n">
        <v>-28.30241736</v>
      </c>
      <c r="AY50" s="160" t="n">
        <v>-28.30241736</v>
      </c>
      <c r="AZ50" s="160" t="n">
        <v>-28.30241736</v>
      </c>
      <c r="BA50" s="160" t="n">
        <v>-28.30241736</v>
      </c>
      <c r="BB50" s="160" t="n">
        <v>-28.8684657072</v>
      </c>
      <c r="BC50" s="160" t="n">
        <v>-28.8684657072</v>
      </c>
      <c r="BD50" s="160" t="n">
        <v>-28.8684657072</v>
      </c>
      <c r="BE50" s="160" t="n">
        <v>-28.8684657072</v>
      </c>
      <c r="BF50" s="160" t="n">
        <v>-28.8684657072</v>
      </c>
      <c r="BG50" s="160" t="n">
        <v>-28.8684657072</v>
      </c>
      <c r="BH50" s="160" t="n">
        <v>-28.8684657072</v>
      </c>
      <c r="BI50" s="160" t="n">
        <v>-28.8684657072</v>
      </c>
      <c r="BJ50" s="160" t="n">
        <v>-28.8684657072</v>
      </c>
      <c r="BK50" s="160" t="n">
        <v>-28.8684657072</v>
      </c>
      <c r="BL50" s="160" t="n">
        <v>-28.8684657072</v>
      </c>
      <c r="BM50" s="160" t="n">
        <v>-28.8684657072</v>
      </c>
      <c r="BN50" s="160" t="n">
        <v>-29.445835021344</v>
      </c>
      <c r="BO50" s="160" t="n">
        <v>-29.445835021344</v>
      </c>
      <c r="BP50" s="160" t="n">
        <v>-29.445835021344</v>
      </c>
      <c r="BQ50" s="160" t="n">
        <v>-29.445835021344</v>
      </c>
      <c r="BR50" s="160" t="n">
        <v>-29.445835021344</v>
      </c>
      <c r="BS50" s="160" t="n">
        <v>-29.445835021344</v>
      </c>
      <c r="BT50" s="160" t="n">
        <v>-29.445835021344</v>
      </c>
      <c r="BU50" s="160" t="n">
        <v>-29.445835021344</v>
      </c>
      <c r="BV50" s="160" t="n">
        <v>-29.445835021344</v>
      </c>
      <c r="BW50" s="160" t="n">
        <v>-29.445835021344</v>
      </c>
      <c r="BX50" s="160" t="n">
        <v>-29.445835021344</v>
      </c>
      <c r="BY50" s="160" t="n">
        <v>-29.445835021344</v>
      </c>
      <c r="BZ50" s="160" t="n">
        <v>-30.0347517217709</v>
      </c>
      <c r="CA50" s="160" t="n">
        <v>-30.0347517217709</v>
      </c>
      <c r="CB50" s="160" t="n">
        <v>-30.0347517217709</v>
      </c>
      <c r="CC50" s="160" t="n">
        <v>-30.0347517217709</v>
      </c>
      <c r="CD50" s="160" t="n">
        <v>-30.0347517217709</v>
      </c>
      <c r="CE50" s="160" t="n">
        <v>-30.0347517217709</v>
      </c>
      <c r="CF50" s="160" t="n">
        <v>-30.0347517217709</v>
      </c>
      <c r="CG50" s="160" t="n">
        <v>-30.0347517217709</v>
      </c>
      <c r="CH50" s="160" t="n">
        <v>-30.0347517217709</v>
      </c>
      <c r="CI50" s="160" t="n">
        <v>-30.0347517217709</v>
      </c>
      <c r="CJ50" s="160" t="n">
        <v>-30.0347517217709</v>
      </c>
      <c r="CK50" s="160" t="n">
        <v>-30.0347517217709</v>
      </c>
      <c r="CL50" s="160" t="n">
        <v>-30.6354467562063</v>
      </c>
      <c r="CM50" s="160" t="n">
        <v>-30.6354467562063</v>
      </c>
      <c r="CN50" s="160" t="n">
        <v>-30.6354467562063</v>
      </c>
      <c r="CO50" s="160" t="n">
        <v>-30.6354467562063</v>
      </c>
      <c r="CP50" s="160" t="n">
        <v>-30.6354467562063</v>
      </c>
      <c r="CQ50" s="160" t="n">
        <v>-30.6354467562063</v>
      </c>
      <c r="CR50" s="160" t="n">
        <v>-30.6354467562063</v>
      </c>
      <c r="CS50" s="160" t="n">
        <v>-30.6354467562063</v>
      </c>
      <c r="CT50" s="160" t="n">
        <v>-30.6354467562063</v>
      </c>
      <c r="CU50" s="160" t="n">
        <v>-30.6354467562063</v>
      </c>
      <c r="CV50" s="160" t="n">
        <v>-30.6354467562063</v>
      </c>
      <c r="CW50" s="160" t="n">
        <v>-30.6354467562063</v>
      </c>
      <c r="CX50" s="160" t="n">
        <v>-31.2481556913304</v>
      </c>
      <c r="CY50" s="160" t="n">
        <v>-31.2481556913304</v>
      </c>
      <c r="CZ50" s="160" t="n">
        <v>-31.2481556913304</v>
      </c>
      <c r="DA50" s="160" t="n">
        <v>-31.2481556913304</v>
      </c>
      <c r="DB50" s="160" t="n">
        <v>-31.2481556913304</v>
      </c>
      <c r="DC50" s="160" t="n">
        <v>-31.2481556913304</v>
      </c>
      <c r="DD50" s="160" t="n">
        <v>-31.2481556913304</v>
      </c>
      <c r="DE50" s="160" t="n">
        <v>-31.2481556913304</v>
      </c>
      <c r="DF50" s="160" t="n">
        <v>-31.2481556913304</v>
      </c>
    </row>
    <row r="51" customFormat="false" ht="15" hidden="false" customHeight="true" outlineLevel="0" collapsed="false">
      <c r="A51" s="99" t="s">
        <v>94</v>
      </c>
      <c r="C51" s="159" t="n">
        <v>0</v>
      </c>
      <c r="D51" s="159" t="n">
        <v>-63</v>
      </c>
      <c r="E51" s="159" t="n">
        <v>0</v>
      </c>
      <c r="F51" s="160" t="n">
        <v>-21</v>
      </c>
      <c r="G51" s="160" t="n">
        <v>-21</v>
      </c>
      <c r="H51" s="160" t="n">
        <v>-21</v>
      </c>
      <c r="I51" s="160" t="n">
        <v>-21</v>
      </c>
      <c r="J51" s="160" t="n">
        <v>-21</v>
      </c>
      <c r="K51" s="160" t="n">
        <v>-21</v>
      </c>
      <c r="L51" s="160" t="n">
        <v>-21</v>
      </c>
      <c r="M51" s="160" t="n">
        <v>-21</v>
      </c>
      <c r="N51" s="160" t="n">
        <v>-21</v>
      </c>
      <c r="O51" s="160" t="n">
        <v>-21</v>
      </c>
      <c r="P51" s="160" t="n">
        <v>-21</v>
      </c>
      <c r="Q51" s="160" t="n">
        <v>-21</v>
      </c>
      <c r="R51" s="160" t="n">
        <v>-21.42</v>
      </c>
      <c r="S51" s="160" t="n">
        <v>-21.42</v>
      </c>
      <c r="T51" s="160" t="n">
        <v>-21.42</v>
      </c>
      <c r="U51" s="160" t="n">
        <v>-21.42</v>
      </c>
      <c r="V51" s="160" t="n">
        <v>-21.42</v>
      </c>
      <c r="W51" s="160" t="n">
        <v>-21.42</v>
      </c>
      <c r="X51" s="160" t="n">
        <v>-21.42</v>
      </c>
      <c r="Y51" s="160" t="n">
        <v>-21.42</v>
      </c>
      <c r="Z51" s="160" t="n">
        <v>-21.42</v>
      </c>
      <c r="AA51" s="160" t="n">
        <v>-21.42</v>
      </c>
      <c r="AB51" s="160" t="n">
        <v>-21.42</v>
      </c>
      <c r="AC51" s="160" t="n">
        <v>-21.42</v>
      </c>
      <c r="AD51" s="160" t="n">
        <v>-21.8484</v>
      </c>
      <c r="AE51" s="160" t="n">
        <v>-21.8484</v>
      </c>
      <c r="AF51" s="160" t="n">
        <v>-21.8484</v>
      </c>
      <c r="AG51" s="160" t="n">
        <v>-21.8484</v>
      </c>
      <c r="AH51" s="160" t="n">
        <v>-21.8484</v>
      </c>
      <c r="AI51" s="160" t="n">
        <v>-21.8484</v>
      </c>
      <c r="AJ51" s="160" t="n">
        <v>-21.8484</v>
      </c>
      <c r="AK51" s="160" t="n">
        <v>-21.8484</v>
      </c>
      <c r="AL51" s="160" t="n">
        <v>-21.8484</v>
      </c>
      <c r="AM51" s="160" t="n">
        <v>-21.8484</v>
      </c>
      <c r="AN51" s="160" t="n">
        <v>-21.8484</v>
      </c>
      <c r="AO51" s="160" t="n">
        <v>-21.8484</v>
      </c>
      <c r="AP51" s="160" t="n">
        <v>-22.285368</v>
      </c>
      <c r="AQ51" s="160" t="n">
        <v>-22.285368</v>
      </c>
      <c r="AR51" s="160" t="n">
        <v>-22.285368</v>
      </c>
      <c r="AS51" s="160" t="n">
        <v>-22.285368</v>
      </c>
      <c r="AT51" s="160" t="n">
        <v>-22.285368</v>
      </c>
      <c r="AU51" s="160" t="n">
        <v>-22.285368</v>
      </c>
      <c r="AV51" s="160" t="n">
        <v>-22.285368</v>
      </c>
      <c r="AW51" s="160" t="n">
        <v>-22.285368</v>
      </c>
      <c r="AX51" s="160" t="n">
        <v>-22.285368</v>
      </c>
      <c r="AY51" s="160" t="n">
        <v>-22.285368</v>
      </c>
      <c r="AZ51" s="160" t="n">
        <v>-22.285368</v>
      </c>
      <c r="BA51" s="160" t="n">
        <v>-22.285368</v>
      </c>
      <c r="BB51" s="160" t="n">
        <v>-22.73107536</v>
      </c>
      <c r="BC51" s="160" t="n">
        <v>-22.73107536</v>
      </c>
      <c r="BD51" s="160" t="n">
        <v>-22.73107536</v>
      </c>
      <c r="BE51" s="160" t="n">
        <v>-22.73107536</v>
      </c>
      <c r="BF51" s="160" t="n">
        <v>-22.73107536</v>
      </c>
      <c r="BG51" s="160" t="n">
        <v>-22.73107536</v>
      </c>
      <c r="BH51" s="160" t="n">
        <v>-22.73107536</v>
      </c>
      <c r="BI51" s="160" t="n">
        <v>-22.73107536</v>
      </c>
      <c r="BJ51" s="160" t="n">
        <v>-22.73107536</v>
      </c>
      <c r="BK51" s="160" t="n">
        <v>-22.73107536</v>
      </c>
      <c r="BL51" s="160" t="n">
        <v>-22.73107536</v>
      </c>
      <c r="BM51" s="160" t="n">
        <v>-22.73107536</v>
      </c>
      <c r="BN51" s="160" t="n">
        <v>-23.1856968672</v>
      </c>
      <c r="BO51" s="160" t="n">
        <v>-23.1856968672</v>
      </c>
      <c r="BP51" s="160" t="n">
        <v>-23.1856968672</v>
      </c>
      <c r="BQ51" s="160" t="n">
        <v>-23.1856968672</v>
      </c>
      <c r="BR51" s="160" t="n">
        <v>-23.1856968672</v>
      </c>
      <c r="BS51" s="160" t="n">
        <v>-23.1856968672</v>
      </c>
      <c r="BT51" s="160" t="n">
        <v>-23.1856968672</v>
      </c>
      <c r="BU51" s="160" t="n">
        <v>-23.1856968672</v>
      </c>
      <c r="BV51" s="160" t="n">
        <v>-23.1856968672</v>
      </c>
      <c r="BW51" s="160" t="n">
        <v>-23.1856968672</v>
      </c>
      <c r="BX51" s="160" t="n">
        <v>-23.1856968672</v>
      </c>
      <c r="BY51" s="160" t="n">
        <v>-23.1856968672</v>
      </c>
      <c r="BZ51" s="160" t="n">
        <v>-23.649410804544</v>
      </c>
      <c r="CA51" s="160" t="n">
        <v>-23.649410804544</v>
      </c>
      <c r="CB51" s="160" t="n">
        <v>-23.649410804544</v>
      </c>
      <c r="CC51" s="160" t="n">
        <v>-23.649410804544</v>
      </c>
      <c r="CD51" s="160" t="n">
        <v>-23.649410804544</v>
      </c>
      <c r="CE51" s="160" t="n">
        <v>-23.649410804544</v>
      </c>
      <c r="CF51" s="160" t="n">
        <v>-23.649410804544</v>
      </c>
      <c r="CG51" s="160" t="n">
        <v>-23.649410804544</v>
      </c>
      <c r="CH51" s="160" t="n">
        <v>-23.649410804544</v>
      </c>
      <c r="CI51" s="160" t="n">
        <v>-23.649410804544</v>
      </c>
      <c r="CJ51" s="160" t="n">
        <v>-23.649410804544</v>
      </c>
      <c r="CK51" s="160" t="n">
        <v>-23.649410804544</v>
      </c>
      <c r="CL51" s="160" t="n">
        <v>-24.1223990206349</v>
      </c>
      <c r="CM51" s="160" t="n">
        <v>-24.1223990206349</v>
      </c>
      <c r="CN51" s="160" t="n">
        <v>-24.1223990206349</v>
      </c>
      <c r="CO51" s="160" t="n">
        <v>-24.1223990206349</v>
      </c>
      <c r="CP51" s="160" t="n">
        <v>-24.1223990206349</v>
      </c>
      <c r="CQ51" s="160" t="n">
        <v>-24.1223990206349</v>
      </c>
      <c r="CR51" s="160" t="n">
        <v>-24.1223990206349</v>
      </c>
      <c r="CS51" s="160" t="n">
        <v>-24.1223990206349</v>
      </c>
      <c r="CT51" s="160" t="n">
        <v>-24.1223990206349</v>
      </c>
      <c r="CU51" s="160" t="n">
        <v>-24.1223990206349</v>
      </c>
      <c r="CV51" s="160" t="n">
        <v>-24.1223990206349</v>
      </c>
      <c r="CW51" s="160" t="n">
        <v>-24.1223990206349</v>
      </c>
      <c r="CX51" s="160" t="n">
        <v>-24.6048470010476</v>
      </c>
      <c r="CY51" s="160" t="n">
        <v>-24.6048470010476</v>
      </c>
      <c r="CZ51" s="160" t="n">
        <v>-24.6048470010476</v>
      </c>
      <c r="DA51" s="160" t="n">
        <v>-24.6048470010476</v>
      </c>
      <c r="DB51" s="160" t="n">
        <v>-24.6048470010476</v>
      </c>
      <c r="DC51" s="160" t="n">
        <v>-24.6048470010476</v>
      </c>
      <c r="DD51" s="160" t="n">
        <v>-24.6048470010476</v>
      </c>
      <c r="DE51" s="160" t="n">
        <v>-24.6048470010476</v>
      </c>
      <c r="DF51" s="160" t="n">
        <v>-24.6048470010476</v>
      </c>
    </row>
    <row r="52" customFormat="false" ht="18" hidden="false" customHeight="true" outlineLevel="0" collapsed="false">
      <c r="A52" s="101" t="s">
        <v>95</v>
      </c>
      <c r="B52" s="104"/>
      <c r="C52" s="159" t="n">
        <v>0</v>
      </c>
      <c r="D52" s="159" t="n">
        <v>0</v>
      </c>
      <c r="E52" s="159" t="n">
        <v>0</v>
      </c>
      <c r="F52" s="160" t="n">
        <v>0</v>
      </c>
      <c r="G52" s="160" t="n">
        <v>0</v>
      </c>
      <c r="H52" s="160" t="n">
        <v>0</v>
      </c>
      <c r="I52" s="160" t="n">
        <v>0</v>
      </c>
      <c r="J52" s="160" t="n">
        <v>0</v>
      </c>
      <c r="K52" s="160" t="n">
        <v>0</v>
      </c>
      <c r="L52" s="160" t="n">
        <v>0</v>
      </c>
      <c r="M52" s="160" t="n">
        <v>0</v>
      </c>
      <c r="N52" s="160" t="n">
        <v>0</v>
      </c>
      <c r="O52" s="160" t="n">
        <v>0</v>
      </c>
      <c r="P52" s="160" t="n">
        <v>0</v>
      </c>
      <c r="Q52" s="160" t="n">
        <v>0</v>
      </c>
      <c r="R52" s="160" t="n">
        <v>0</v>
      </c>
      <c r="S52" s="160" t="n">
        <v>0</v>
      </c>
      <c r="T52" s="160" t="n">
        <v>0</v>
      </c>
      <c r="U52" s="160" t="n">
        <v>0</v>
      </c>
      <c r="V52" s="160" t="n">
        <v>0</v>
      </c>
      <c r="W52" s="160" t="n">
        <v>0</v>
      </c>
      <c r="X52" s="160" t="n">
        <v>0</v>
      </c>
      <c r="Y52" s="160" t="n">
        <v>0</v>
      </c>
      <c r="Z52" s="160" t="n">
        <v>0</v>
      </c>
      <c r="AA52" s="160" t="n">
        <v>0</v>
      </c>
      <c r="AB52" s="160" t="n">
        <v>0</v>
      </c>
      <c r="AC52" s="160" t="n">
        <v>0</v>
      </c>
      <c r="AD52" s="160" t="n">
        <v>0</v>
      </c>
      <c r="AE52" s="160" t="n">
        <v>0</v>
      </c>
      <c r="AF52" s="160" t="n">
        <v>0</v>
      </c>
      <c r="AG52" s="160" t="n">
        <v>0</v>
      </c>
      <c r="AH52" s="160" t="n">
        <v>0</v>
      </c>
      <c r="AI52" s="160" t="n">
        <v>0</v>
      </c>
      <c r="AJ52" s="160" t="n">
        <v>0</v>
      </c>
      <c r="AK52" s="160" t="n">
        <v>0</v>
      </c>
      <c r="AL52" s="160" t="n">
        <v>0</v>
      </c>
      <c r="AM52" s="160" t="n">
        <v>0</v>
      </c>
      <c r="AN52" s="160" t="n">
        <v>0</v>
      </c>
      <c r="AO52" s="160" t="n">
        <v>0</v>
      </c>
      <c r="AP52" s="160" t="n">
        <v>0</v>
      </c>
      <c r="AQ52" s="160" t="n">
        <v>0</v>
      </c>
      <c r="AR52" s="160" t="n">
        <v>0</v>
      </c>
      <c r="AS52" s="160" t="n">
        <v>0</v>
      </c>
      <c r="AT52" s="160" t="n">
        <v>0</v>
      </c>
      <c r="AU52" s="160" t="n">
        <v>0</v>
      </c>
      <c r="AV52" s="160" t="n">
        <v>0</v>
      </c>
      <c r="AW52" s="160" t="n">
        <v>0</v>
      </c>
      <c r="AX52" s="160" t="n">
        <v>0</v>
      </c>
      <c r="AY52" s="160" t="n">
        <v>0</v>
      </c>
      <c r="AZ52" s="160" t="n">
        <v>0</v>
      </c>
      <c r="BA52" s="160" t="n">
        <v>0</v>
      </c>
      <c r="BB52" s="160" t="n">
        <v>0</v>
      </c>
      <c r="BC52" s="160" t="n">
        <v>0</v>
      </c>
      <c r="BD52" s="160" t="n">
        <v>0</v>
      </c>
      <c r="BE52" s="160" t="n">
        <v>0</v>
      </c>
      <c r="BF52" s="160" t="n">
        <v>0</v>
      </c>
      <c r="BG52" s="160" t="n">
        <v>0</v>
      </c>
      <c r="BH52" s="160" t="n">
        <v>0</v>
      </c>
      <c r="BI52" s="160" t="n">
        <v>0</v>
      </c>
      <c r="BJ52" s="160" t="n">
        <v>0</v>
      </c>
      <c r="BK52" s="160" t="n">
        <v>0</v>
      </c>
      <c r="BL52" s="160" t="n">
        <v>0</v>
      </c>
      <c r="BM52" s="160" t="n">
        <v>0</v>
      </c>
      <c r="BN52" s="160" t="n">
        <v>0</v>
      </c>
      <c r="BO52" s="160" t="n">
        <v>0</v>
      </c>
      <c r="BP52" s="160" t="n">
        <v>0</v>
      </c>
      <c r="BQ52" s="160" t="n">
        <v>0</v>
      </c>
      <c r="BR52" s="160" t="n">
        <v>0</v>
      </c>
      <c r="BS52" s="160" t="n">
        <v>0</v>
      </c>
      <c r="BT52" s="160" t="n">
        <v>0</v>
      </c>
      <c r="BU52" s="160" t="n">
        <v>0</v>
      </c>
      <c r="BV52" s="160" t="n">
        <v>0</v>
      </c>
      <c r="BW52" s="160" t="n">
        <v>0</v>
      </c>
      <c r="BX52" s="160" t="n">
        <v>0</v>
      </c>
      <c r="BY52" s="160" t="n">
        <v>0</v>
      </c>
      <c r="BZ52" s="160" t="n">
        <v>0</v>
      </c>
      <c r="CA52" s="160" t="n">
        <v>0</v>
      </c>
      <c r="CB52" s="160" t="n">
        <v>0</v>
      </c>
      <c r="CC52" s="160" t="n">
        <v>0</v>
      </c>
      <c r="CD52" s="160" t="n">
        <v>0</v>
      </c>
      <c r="CE52" s="160" t="n">
        <v>0</v>
      </c>
      <c r="CF52" s="160" t="n">
        <v>0</v>
      </c>
      <c r="CG52" s="160" t="n">
        <v>0</v>
      </c>
      <c r="CH52" s="160" t="n">
        <v>0</v>
      </c>
      <c r="CI52" s="160" t="n">
        <v>0</v>
      </c>
      <c r="CJ52" s="160" t="n">
        <v>0</v>
      </c>
      <c r="CK52" s="160" t="n">
        <v>0</v>
      </c>
      <c r="CL52" s="160" t="n">
        <v>0</v>
      </c>
      <c r="CM52" s="160" t="n">
        <v>0</v>
      </c>
      <c r="CN52" s="160" t="n">
        <v>0</v>
      </c>
      <c r="CO52" s="160" t="n">
        <v>0</v>
      </c>
      <c r="CP52" s="160" t="n">
        <v>0</v>
      </c>
      <c r="CQ52" s="160" t="n">
        <v>0</v>
      </c>
      <c r="CR52" s="160" t="n">
        <v>0</v>
      </c>
      <c r="CS52" s="160" t="n">
        <v>0</v>
      </c>
      <c r="CT52" s="160" t="n">
        <v>0</v>
      </c>
      <c r="CU52" s="160" t="n">
        <v>0</v>
      </c>
      <c r="CV52" s="160" t="n">
        <v>0</v>
      </c>
      <c r="CW52" s="160" t="n">
        <v>0</v>
      </c>
      <c r="CX52" s="160" t="n">
        <v>0</v>
      </c>
      <c r="CY52" s="160" t="n">
        <v>0</v>
      </c>
      <c r="CZ52" s="160" t="n">
        <v>0</v>
      </c>
      <c r="DA52" s="160" t="n">
        <v>0</v>
      </c>
      <c r="DB52" s="160" t="n">
        <v>0</v>
      </c>
      <c r="DC52" s="160" t="n">
        <v>0</v>
      </c>
      <c r="DD52" s="160" t="n">
        <v>0</v>
      </c>
      <c r="DE52" s="160" t="n">
        <v>0</v>
      </c>
      <c r="DF52" s="160" t="n">
        <v>0</v>
      </c>
    </row>
    <row r="53" customFormat="false" ht="15" hidden="false" customHeight="true" outlineLevel="0" collapsed="false">
      <c r="A53" s="106" t="s">
        <v>96</v>
      </c>
      <c r="C53" s="159" t="n">
        <v>0</v>
      </c>
      <c r="D53" s="159" t="n">
        <v>0</v>
      </c>
      <c r="E53" s="159" t="n">
        <v>-11105.35</v>
      </c>
      <c r="F53" s="160" t="n">
        <v>-3701.78</v>
      </c>
      <c r="G53" s="160" t="n">
        <v>-3701.78</v>
      </c>
      <c r="H53" s="160" t="n">
        <v>-3701.78</v>
      </c>
      <c r="I53" s="160" t="n">
        <v>-3701.78</v>
      </c>
      <c r="J53" s="160" t="n">
        <v>-3701.78</v>
      </c>
      <c r="K53" s="160" t="n">
        <v>-3701.78</v>
      </c>
      <c r="L53" s="160" t="n">
        <v>-3701.78</v>
      </c>
      <c r="M53" s="160" t="n">
        <v>-3701.78</v>
      </c>
      <c r="N53" s="160" t="n">
        <v>-3701.78</v>
      </c>
      <c r="O53" s="160" t="n">
        <v>-3701.78</v>
      </c>
      <c r="P53" s="160" t="n">
        <v>-3701.78</v>
      </c>
      <c r="Q53" s="160" t="n">
        <v>-3701.78</v>
      </c>
      <c r="R53" s="160" t="n">
        <v>-3775.8156</v>
      </c>
      <c r="S53" s="160" t="n">
        <v>-3775.8156</v>
      </c>
      <c r="T53" s="160" t="n">
        <v>-3775.8156</v>
      </c>
      <c r="U53" s="160" t="n">
        <v>-3775.8156</v>
      </c>
      <c r="V53" s="160" t="n">
        <v>-3775.8156</v>
      </c>
      <c r="W53" s="160" t="n">
        <v>-3775.8156</v>
      </c>
      <c r="X53" s="160" t="n">
        <v>-3775.8156</v>
      </c>
      <c r="Y53" s="160" t="n">
        <v>-3775.8156</v>
      </c>
      <c r="Z53" s="160" t="n">
        <v>-3775.8156</v>
      </c>
      <c r="AA53" s="160" t="n">
        <v>-3775.8156</v>
      </c>
      <c r="AB53" s="160" t="n">
        <v>-3775.8156</v>
      </c>
      <c r="AC53" s="160" t="n">
        <v>-3775.8156</v>
      </c>
      <c r="AD53" s="160" t="n">
        <v>-3851.331912</v>
      </c>
      <c r="AE53" s="160" t="n">
        <v>-3851.331912</v>
      </c>
      <c r="AF53" s="160" t="n">
        <v>-3851.331912</v>
      </c>
      <c r="AG53" s="160" t="n">
        <v>-3851.331912</v>
      </c>
      <c r="AH53" s="160" t="n">
        <v>-3851.331912</v>
      </c>
      <c r="AI53" s="160" t="n">
        <v>-3851.331912</v>
      </c>
      <c r="AJ53" s="160" t="n">
        <v>-3851.331912</v>
      </c>
      <c r="AK53" s="160" t="n">
        <v>-3851.331912</v>
      </c>
      <c r="AL53" s="160" t="n">
        <v>-3851.331912</v>
      </c>
      <c r="AM53" s="160" t="n">
        <v>-3851.331912</v>
      </c>
      <c r="AN53" s="160" t="n">
        <v>-3851.331912</v>
      </c>
      <c r="AO53" s="160" t="n">
        <v>-3851.331912</v>
      </c>
      <c r="AP53" s="160" t="n">
        <v>-3928.35855024</v>
      </c>
      <c r="AQ53" s="160" t="n">
        <v>-3928.35855024</v>
      </c>
      <c r="AR53" s="160" t="n">
        <v>-3928.35855024</v>
      </c>
      <c r="AS53" s="160" t="n">
        <v>-3928.35855024</v>
      </c>
      <c r="AT53" s="160" t="n">
        <v>-3928.35855024</v>
      </c>
      <c r="AU53" s="160" t="n">
        <v>-3928.35855024</v>
      </c>
      <c r="AV53" s="160" t="n">
        <v>-3928.35855024</v>
      </c>
      <c r="AW53" s="160" t="n">
        <v>-3928.35855024</v>
      </c>
      <c r="AX53" s="160" t="n">
        <v>-3928.35855024</v>
      </c>
      <c r="AY53" s="160" t="n">
        <v>-3928.35855024</v>
      </c>
      <c r="AZ53" s="160" t="n">
        <v>-3928.35855024</v>
      </c>
      <c r="BA53" s="160" t="n">
        <v>-3928.35855024</v>
      </c>
      <c r="BB53" s="160" t="n">
        <v>-4006.9257212448</v>
      </c>
      <c r="BC53" s="160" t="n">
        <v>-4006.9257212448</v>
      </c>
      <c r="BD53" s="160" t="n">
        <v>-4006.9257212448</v>
      </c>
      <c r="BE53" s="160" t="n">
        <v>-4006.9257212448</v>
      </c>
      <c r="BF53" s="160" t="n">
        <v>-4006.9257212448</v>
      </c>
      <c r="BG53" s="160" t="n">
        <v>-4006.9257212448</v>
      </c>
      <c r="BH53" s="160" t="n">
        <v>-4006.9257212448</v>
      </c>
      <c r="BI53" s="160" t="n">
        <v>-4006.9257212448</v>
      </c>
      <c r="BJ53" s="160" t="n">
        <v>-4006.9257212448</v>
      </c>
      <c r="BK53" s="160" t="n">
        <v>-4006.9257212448</v>
      </c>
      <c r="BL53" s="160" t="n">
        <v>-4006.9257212448</v>
      </c>
      <c r="BM53" s="160" t="n">
        <v>-4006.9257212448</v>
      </c>
      <c r="BN53" s="160" t="n">
        <v>-4087.0642356697</v>
      </c>
      <c r="BO53" s="160" t="n">
        <v>-4087.0642356697</v>
      </c>
      <c r="BP53" s="160" t="n">
        <v>-4087.0642356697</v>
      </c>
      <c r="BQ53" s="160" t="n">
        <v>-4087.0642356697</v>
      </c>
      <c r="BR53" s="160" t="n">
        <v>-4087.0642356697</v>
      </c>
      <c r="BS53" s="160" t="n">
        <v>-4087.0642356697</v>
      </c>
      <c r="BT53" s="160" t="n">
        <v>-4087.0642356697</v>
      </c>
      <c r="BU53" s="160" t="n">
        <v>-4087.0642356697</v>
      </c>
      <c r="BV53" s="160" t="n">
        <v>-4087.0642356697</v>
      </c>
      <c r="BW53" s="160" t="n">
        <v>-4087.0642356697</v>
      </c>
      <c r="BX53" s="160" t="n">
        <v>-4087.0642356697</v>
      </c>
      <c r="BY53" s="160" t="n">
        <v>-4087.0642356697</v>
      </c>
      <c r="BZ53" s="160" t="n">
        <v>-4168.80552038309</v>
      </c>
      <c r="CA53" s="160" t="n">
        <v>-4168.80552038309</v>
      </c>
      <c r="CB53" s="160" t="n">
        <v>-4168.80552038309</v>
      </c>
      <c r="CC53" s="160" t="n">
        <v>-4168.80552038309</v>
      </c>
      <c r="CD53" s="160" t="n">
        <v>-4168.80552038309</v>
      </c>
      <c r="CE53" s="160" t="n">
        <v>-4168.80552038309</v>
      </c>
      <c r="CF53" s="160" t="n">
        <v>-4168.80552038309</v>
      </c>
      <c r="CG53" s="160" t="n">
        <v>-4168.80552038309</v>
      </c>
      <c r="CH53" s="160" t="n">
        <v>-4168.80552038309</v>
      </c>
      <c r="CI53" s="160" t="n">
        <v>-4168.80552038309</v>
      </c>
      <c r="CJ53" s="160" t="n">
        <v>-4168.80552038309</v>
      </c>
      <c r="CK53" s="160" t="n">
        <v>-4168.80552038309</v>
      </c>
      <c r="CL53" s="160" t="n">
        <v>-4252.18163079075</v>
      </c>
      <c r="CM53" s="160" t="n">
        <v>-4252.18163079075</v>
      </c>
      <c r="CN53" s="160" t="n">
        <v>-4252.18163079075</v>
      </c>
      <c r="CO53" s="160" t="n">
        <v>-4252.18163079075</v>
      </c>
      <c r="CP53" s="160" t="n">
        <v>-4252.18163079075</v>
      </c>
      <c r="CQ53" s="160" t="n">
        <v>-4252.18163079075</v>
      </c>
      <c r="CR53" s="160" t="n">
        <v>-4252.18163079075</v>
      </c>
      <c r="CS53" s="160" t="n">
        <v>-4252.18163079075</v>
      </c>
      <c r="CT53" s="160" t="n">
        <v>-4252.18163079075</v>
      </c>
      <c r="CU53" s="160" t="n">
        <v>-4252.18163079075</v>
      </c>
      <c r="CV53" s="160" t="n">
        <v>-4252.18163079075</v>
      </c>
      <c r="CW53" s="160" t="n">
        <v>-4252.18163079075</v>
      </c>
      <c r="CX53" s="160" t="n">
        <v>-4337.22526340657</v>
      </c>
      <c r="CY53" s="160" t="n">
        <v>-4337.22526340657</v>
      </c>
      <c r="CZ53" s="160" t="n">
        <v>-4337.22526340657</v>
      </c>
      <c r="DA53" s="160" t="n">
        <v>-4337.22526340657</v>
      </c>
      <c r="DB53" s="160" t="n">
        <v>-4337.22526340657</v>
      </c>
      <c r="DC53" s="160" t="n">
        <v>-4337.22526340657</v>
      </c>
      <c r="DD53" s="160" t="n">
        <v>-4337.22526340657</v>
      </c>
      <c r="DE53" s="160" t="n">
        <v>-4337.22526340657</v>
      </c>
      <c r="DF53" s="160" t="n">
        <v>-4337.22526340657</v>
      </c>
    </row>
    <row r="54" customFormat="false" ht="15" hidden="false" customHeight="true" outlineLevel="0" collapsed="false">
      <c r="A54" s="106" t="s">
        <v>517</v>
      </c>
      <c r="C54" s="159" t="n">
        <v>0</v>
      </c>
      <c r="D54" s="159" t="n">
        <v>0</v>
      </c>
      <c r="E54" s="159" t="n">
        <v>0</v>
      </c>
      <c r="F54" s="160" t="n">
        <v>0</v>
      </c>
      <c r="G54" s="160" t="n">
        <v>0</v>
      </c>
      <c r="H54" s="160" t="n">
        <v>0</v>
      </c>
      <c r="I54" s="160" t="n">
        <v>0</v>
      </c>
      <c r="J54" s="160" t="n">
        <v>0</v>
      </c>
      <c r="K54" s="160" t="n">
        <v>0</v>
      </c>
      <c r="L54" s="160" t="n">
        <v>0</v>
      </c>
      <c r="M54" s="160" t="n">
        <v>0</v>
      </c>
      <c r="N54" s="160" t="n">
        <v>0</v>
      </c>
      <c r="O54" s="160" t="n">
        <v>0</v>
      </c>
      <c r="P54" s="160" t="n">
        <v>0</v>
      </c>
      <c r="Q54" s="160" t="n">
        <v>0</v>
      </c>
      <c r="R54" s="160" t="n">
        <v>0</v>
      </c>
      <c r="S54" s="160" t="n">
        <v>0</v>
      </c>
      <c r="T54" s="160" t="n">
        <v>0</v>
      </c>
      <c r="U54" s="160" t="n">
        <v>0</v>
      </c>
      <c r="V54" s="160" t="n">
        <v>0</v>
      </c>
      <c r="W54" s="160" t="n">
        <v>0</v>
      </c>
      <c r="X54" s="160" t="n">
        <v>0</v>
      </c>
      <c r="Y54" s="160" t="n">
        <v>0</v>
      </c>
      <c r="Z54" s="160" t="n">
        <v>0</v>
      </c>
      <c r="AA54" s="160" t="n">
        <v>0</v>
      </c>
      <c r="AB54" s="160" t="n">
        <v>0</v>
      </c>
      <c r="AC54" s="160" t="n">
        <v>0</v>
      </c>
      <c r="AD54" s="160" t="n">
        <v>0</v>
      </c>
      <c r="AE54" s="160" t="n">
        <v>0</v>
      </c>
      <c r="AF54" s="160" t="n">
        <v>0</v>
      </c>
      <c r="AG54" s="160" t="n">
        <v>0</v>
      </c>
      <c r="AH54" s="160" t="n">
        <v>0</v>
      </c>
      <c r="AI54" s="160" t="n">
        <v>0</v>
      </c>
      <c r="AJ54" s="160" t="n">
        <v>0</v>
      </c>
      <c r="AK54" s="160" t="n">
        <v>0</v>
      </c>
      <c r="AL54" s="160" t="n">
        <v>0</v>
      </c>
      <c r="AM54" s="160" t="n">
        <v>0</v>
      </c>
      <c r="AN54" s="160" t="n">
        <v>0</v>
      </c>
      <c r="AO54" s="160" t="n">
        <v>0</v>
      </c>
      <c r="AP54" s="160" t="n">
        <v>0</v>
      </c>
      <c r="AQ54" s="160" t="n">
        <v>0</v>
      </c>
      <c r="AR54" s="160" t="n">
        <v>0</v>
      </c>
      <c r="AS54" s="160" t="n">
        <v>0</v>
      </c>
      <c r="AT54" s="160" t="n">
        <v>0</v>
      </c>
      <c r="AU54" s="160" t="n">
        <v>0</v>
      </c>
      <c r="AV54" s="160" t="n">
        <v>0</v>
      </c>
      <c r="AW54" s="160" t="n">
        <v>0</v>
      </c>
      <c r="AX54" s="160" t="n">
        <v>0</v>
      </c>
      <c r="AY54" s="160" t="n">
        <v>0</v>
      </c>
      <c r="AZ54" s="160" t="n">
        <v>0</v>
      </c>
      <c r="BA54" s="160" t="n">
        <v>0</v>
      </c>
      <c r="BB54" s="160" t="n">
        <v>0</v>
      </c>
      <c r="BC54" s="160" t="n">
        <v>0</v>
      </c>
      <c r="BD54" s="160" t="n">
        <v>0</v>
      </c>
      <c r="BE54" s="160" t="n">
        <v>0</v>
      </c>
      <c r="BF54" s="160" t="n">
        <v>0</v>
      </c>
      <c r="BG54" s="160" t="n">
        <v>0</v>
      </c>
      <c r="BH54" s="160" t="n">
        <v>0</v>
      </c>
      <c r="BI54" s="160" t="n">
        <v>0</v>
      </c>
      <c r="BJ54" s="160" t="n">
        <v>0</v>
      </c>
      <c r="BK54" s="160" t="n">
        <v>0</v>
      </c>
      <c r="BL54" s="160" t="n">
        <v>0</v>
      </c>
      <c r="BM54" s="160" t="n">
        <v>0</v>
      </c>
      <c r="BN54" s="160" t="n">
        <v>0</v>
      </c>
      <c r="BO54" s="160" t="n">
        <v>0</v>
      </c>
      <c r="BP54" s="160" t="n">
        <v>0</v>
      </c>
      <c r="BQ54" s="160" t="n">
        <v>0</v>
      </c>
      <c r="BR54" s="160" t="n">
        <v>0</v>
      </c>
      <c r="BS54" s="160" t="n">
        <v>0</v>
      </c>
      <c r="BT54" s="160" t="n">
        <v>0</v>
      </c>
      <c r="BU54" s="160" t="n">
        <v>0</v>
      </c>
      <c r="BV54" s="160" t="n">
        <v>0</v>
      </c>
      <c r="BW54" s="160" t="n">
        <v>0</v>
      </c>
      <c r="BX54" s="160" t="n">
        <v>0</v>
      </c>
      <c r="BY54" s="160" t="n">
        <v>0</v>
      </c>
      <c r="BZ54" s="160" t="n">
        <v>0</v>
      </c>
      <c r="CA54" s="160" t="n">
        <v>0</v>
      </c>
      <c r="CB54" s="160" t="n">
        <v>0</v>
      </c>
      <c r="CC54" s="160" t="n">
        <v>0</v>
      </c>
      <c r="CD54" s="160" t="n">
        <v>0</v>
      </c>
      <c r="CE54" s="160" t="n">
        <v>0</v>
      </c>
      <c r="CF54" s="160" t="n">
        <v>0</v>
      </c>
      <c r="CG54" s="160" t="n">
        <v>0</v>
      </c>
      <c r="CH54" s="160" t="n">
        <v>0</v>
      </c>
      <c r="CI54" s="160" t="n">
        <v>0</v>
      </c>
      <c r="CJ54" s="160" t="n">
        <v>0</v>
      </c>
      <c r="CK54" s="160" t="n">
        <v>0</v>
      </c>
      <c r="CL54" s="160" t="n">
        <v>0</v>
      </c>
      <c r="CM54" s="160" t="n">
        <v>0</v>
      </c>
      <c r="CN54" s="160" t="n">
        <v>0</v>
      </c>
      <c r="CO54" s="160" t="n">
        <v>0</v>
      </c>
      <c r="CP54" s="160" t="n">
        <v>0</v>
      </c>
      <c r="CQ54" s="160" t="n">
        <v>0</v>
      </c>
      <c r="CR54" s="160" t="n">
        <v>0</v>
      </c>
      <c r="CS54" s="160" t="n">
        <v>0</v>
      </c>
      <c r="CT54" s="160" t="n">
        <v>0</v>
      </c>
      <c r="CU54" s="160" t="n">
        <v>0</v>
      </c>
      <c r="CV54" s="160" t="n">
        <v>0</v>
      </c>
      <c r="CW54" s="160" t="n">
        <v>0</v>
      </c>
      <c r="CX54" s="160" t="n">
        <v>0</v>
      </c>
      <c r="CY54" s="160" t="n">
        <v>0</v>
      </c>
      <c r="CZ54" s="160" t="n">
        <v>0</v>
      </c>
      <c r="DA54" s="160" t="n">
        <v>0</v>
      </c>
      <c r="DB54" s="160" t="n">
        <v>0</v>
      </c>
      <c r="DC54" s="160" t="n">
        <v>0</v>
      </c>
      <c r="DD54" s="160" t="n">
        <v>0</v>
      </c>
      <c r="DE54" s="160" t="n">
        <v>0</v>
      </c>
      <c r="DF54" s="160" t="n">
        <v>0</v>
      </c>
    </row>
    <row r="55" customFormat="false" ht="15" hidden="false" customHeight="true" outlineLevel="0" collapsed="false">
      <c r="A55" s="94" t="s">
        <v>97</v>
      </c>
      <c r="C55" s="162" t="n">
        <v>-258991.59</v>
      </c>
      <c r="D55" s="162" t="n">
        <v>-258698.63</v>
      </c>
      <c r="E55" s="162" t="n">
        <v>-350327.83</v>
      </c>
      <c r="F55" s="162" t="n">
        <v>-391691.558333333</v>
      </c>
      <c r="G55" s="162" t="n">
        <v>-464089.475</v>
      </c>
      <c r="H55" s="162" t="n">
        <v>-493464.475</v>
      </c>
      <c r="I55" s="162" t="n">
        <v>-480368.641666666</v>
      </c>
      <c r="J55" s="162" t="n">
        <v>-460868.641666666</v>
      </c>
      <c r="K55" s="162" t="n">
        <v>-460868.641666666</v>
      </c>
      <c r="L55" s="162" t="n">
        <v>-522222.808333333</v>
      </c>
      <c r="M55" s="162" t="n">
        <v>-573072.808333333</v>
      </c>
      <c r="N55" s="162" t="n">
        <v>-519072.808333333</v>
      </c>
      <c r="O55" s="162" t="n">
        <v>-519072.808333333</v>
      </c>
      <c r="P55" s="162" t="n">
        <v>-519072.808333333</v>
      </c>
      <c r="Q55" s="162" t="n">
        <v>-519072.808333333</v>
      </c>
      <c r="R55" s="162" t="n">
        <v>-566949.597833333</v>
      </c>
      <c r="S55" s="162" t="n">
        <v>-542949.597833333</v>
      </c>
      <c r="T55" s="162" t="n">
        <v>-542949.597833333</v>
      </c>
      <c r="U55" s="162" t="n">
        <v>-542949.597833333</v>
      </c>
      <c r="V55" s="162" t="n">
        <v>-542949.597833333</v>
      </c>
      <c r="W55" s="162" t="n">
        <v>-542949.597833333</v>
      </c>
      <c r="X55" s="162" t="n">
        <v>-542949.597833333</v>
      </c>
      <c r="Y55" s="162" t="n">
        <v>-542949.597833333</v>
      </c>
      <c r="Z55" s="162" t="n">
        <v>-542949.597833333</v>
      </c>
      <c r="AA55" s="162" t="n">
        <v>-542949.597833333</v>
      </c>
      <c r="AB55" s="162" t="n">
        <v>-542949.597833333</v>
      </c>
      <c r="AC55" s="162" t="n">
        <v>-542949.597833333</v>
      </c>
      <c r="AD55" s="162" t="n">
        <v>-551731.923123333</v>
      </c>
      <c r="AE55" s="162" t="n">
        <v>-551731.923123333</v>
      </c>
      <c r="AF55" s="162" t="n">
        <v>-551731.923123333</v>
      </c>
      <c r="AG55" s="162" t="n">
        <v>-551731.923123333</v>
      </c>
      <c r="AH55" s="162" t="n">
        <v>-551731.923123333</v>
      </c>
      <c r="AI55" s="162" t="n">
        <v>-551731.923123333</v>
      </c>
      <c r="AJ55" s="162" t="n">
        <v>-551731.923123333</v>
      </c>
      <c r="AK55" s="162" t="n">
        <v>-551731.923123333</v>
      </c>
      <c r="AL55" s="162" t="n">
        <v>-551731.923123333</v>
      </c>
      <c r="AM55" s="162" t="n">
        <v>-551731.923123333</v>
      </c>
      <c r="AN55" s="162" t="n">
        <v>-551731.923123333</v>
      </c>
      <c r="AO55" s="162" t="n">
        <v>-551731.923123333</v>
      </c>
      <c r="AP55" s="162" t="n">
        <v>-560689.894919133</v>
      </c>
      <c r="AQ55" s="162" t="n">
        <v>-560689.894919133</v>
      </c>
      <c r="AR55" s="162" t="n">
        <v>-560689.894919133</v>
      </c>
      <c r="AS55" s="162" t="n">
        <v>-560689.894919133</v>
      </c>
      <c r="AT55" s="162" t="n">
        <v>-560689.894919133</v>
      </c>
      <c r="AU55" s="162" t="n">
        <v>-560689.894919133</v>
      </c>
      <c r="AV55" s="162" t="n">
        <v>-560689.894919133</v>
      </c>
      <c r="AW55" s="162" t="n">
        <v>-560689.894919133</v>
      </c>
      <c r="AX55" s="162" t="n">
        <v>-560689.894919133</v>
      </c>
      <c r="AY55" s="162" t="n">
        <v>-560689.894919133</v>
      </c>
      <c r="AZ55" s="162" t="n">
        <v>-560689.894919133</v>
      </c>
      <c r="BA55" s="162" t="n">
        <v>-560689.894919133</v>
      </c>
      <c r="BB55" s="162" t="n">
        <v>-569827.026150849</v>
      </c>
      <c r="BC55" s="162" t="n">
        <v>-569827.026150849</v>
      </c>
      <c r="BD55" s="162" t="n">
        <v>-569827.026150849</v>
      </c>
      <c r="BE55" s="162" t="n">
        <v>-569827.026150849</v>
      </c>
      <c r="BF55" s="162" t="n">
        <v>-569827.026150849</v>
      </c>
      <c r="BG55" s="162" t="n">
        <v>-569827.026150849</v>
      </c>
      <c r="BH55" s="162" t="n">
        <v>-569827.026150849</v>
      </c>
      <c r="BI55" s="162" t="n">
        <v>-569827.026150849</v>
      </c>
      <c r="BJ55" s="162" t="n">
        <v>-569827.026150849</v>
      </c>
      <c r="BK55" s="162" t="n">
        <v>-569827.026150849</v>
      </c>
      <c r="BL55" s="162" t="n">
        <v>-569827.026150849</v>
      </c>
      <c r="BM55" s="162" t="n">
        <v>-569827.026150849</v>
      </c>
      <c r="BN55" s="162" t="n">
        <v>-579146.900007199</v>
      </c>
      <c r="BO55" s="162" t="n">
        <v>-579146.900007199</v>
      </c>
      <c r="BP55" s="162" t="n">
        <v>-579146.900007199</v>
      </c>
      <c r="BQ55" s="162" t="n">
        <v>-579146.900007199</v>
      </c>
      <c r="BR55" s="162" t="n">
        <v>-579146.900007199</v>
      </c>
      <c r="BS55" s="162" t="n">
        <v>-579146.900007199</v>
      </c>
      <c r="BT55" s="162" t="n">
        <v>-579146.900007199</v>
      </c>
      <c r="BU55" s="162" t="n">
        <v>-579146.900007199</v>
      </c>
      <c r="BV55" s="162" t="n">
        <v>-579146.900007199</v>
      </c>
      <c r="BW55" s="162" t="n">
        <v>-579146.900007199</v>
      </c>
      <c r="BX55" s="162" t="n">
        <v>-579146.900007199</v>
      </c>
      <c r="BY55" s="162" t="n">
        <v>-579146.900007199</v>
      </c>
      <c r="BZ55" s="162" t="n">
        <v>-588653.171340677</v>
      </c>
      <c r="CA55" s="162" t="n">
        <v>-588653.171340677</v>
      </c>
      <c r="CB55" s="162" t="n">
        <v>-588653.171340677</v>
      </c>
      <c r="CC55" s="162" t="n">
        <v>-588653.171340677</v>
      </c>
      <c r="CD55" s="162" t="n">
        <v>-588653.171340677</v>
      </c>
      <c r="CE55" s="162" t="n">
        <v>-588653.171340677</v>
      </c>
      <c r="CF55" s="162" t="n">
        <v>-588653.171340677</v>
      </c>
      <c r="CG55" s="162" t="n">
        <v>-588653.171340677</v>
      </c>
      <c r="CH55" s="162" t="n">
        <v>-588653.171340677</v>
      </c>
      <c r="CI55" s="162" t="n">
        <v>-588653.171340677</v>
      </c>
      <c r="CJ55" s="162" t="n">
        <v>-588653.171340677</v>
      </c>
      <c r="CK55" s="162" t="n">
        <v>-588653.171340677</v>
      </c>
      <c r="CL55" s="162" t="n">
        <v>-598349.568100823</v>
      </c>
      <c r="CM55" s="162" t="n">
        <v>-598349.568100823</v>
      </c>
      <c r="CN55" s="162" t="n">
        <v>-598349.568100823</v>
      </c>
      <c r="CO55" s="162" t="n">
        <v>-598349.568100823</v>
      </c>
      <c r="CP55" s="162" t="n">
        <v>-598349.568100823</v>
      </c>
      <c r="CQ55" s="162" t="n">
        <v>-598349.568100823</v>
      </c>
      <c r="CR55" s="162" t="n">
        <v>-598349.568100823</v>
      </c>
      <c r="CS55" s="162" t="n">
        <v>-598349.568100823</v>
      </c>
      <c r="CT55" s="162" t="n">
        <v>-598349.568100823</v>
      </c>
      <c r="CU55" s="162" t="n">
        <v>-541129.466733473</v>
      </c>
      <c r="CV55" s="162" t="n">
        <v>-541129.466733473</v>
      </c>
      <c r="CW55" s="162" t="n">
        <v>-541129.466733473</v>
      </c>
      <c r="CX55" s="162" t="n">
        <v>-549875.389401476</v>
      </c>
      <c r="CY55" s="162" t="n">
        <v>-549875.389401476</v>
      </c>
      <c r="CZ55" s="162" t="n">
        <v>-549875.389401476</v>
      </c>
      <c r="DA55" s="162" t="n">
        <v>-549875.389401476</v>
      </c>
      <c r="DB55" s="162" t="n">
        <v>-549875.389401476</v>
      </c>
      <c r="DC55" s="162" t="n">
        <v>-549875.389401476</v>
      </c>
      <c r="DD55" s="162" t="n">
        <v>-549875.389401476</v>
      </c>
      <c r="DE55" s="162" t="n">
        <v>-549875.389401476</v>
      </c>
      <c r="DF55" s="162" t="n">
        <v>-549875.389401476</v>
      </c>
    </row>
    <row r="56" customFormat="false" ht="15" hidden="false" customHeight="true" outlineLevel="0" collapsed="false">
      <c r="A56" s="90"/>
      <c r="C56" s="104"/>
      <c r="D56" s="104"/>
      <c r="E56" s="104"/>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c r="CY56" s="158"/>
      <c r="CZ56" s="158"/>
      <c r="DA56" s="158"/>
      <c r="DB56" s="158"/>
      <c r="DC56" s="158"/>
      <c r="DD56" s="158"/>
      <c r="DE56" s="158"/>
      <c r="DF56" s="158"/>
    </row>
    <row r="57" customFormat="false" ht="15" hidden="false" customHeight="true" outlineLevel="0" collapsed="false">
      <c r="A57" s="94" t="s">
        <v>98</v>
      </c>
      <c r="C57" s="162" t="n">
        <v>-40238.7799999999</v>
      </c>
      <c r="D57" s="162" t="n">
        <v>-309702.1</v>
      </c>
      <c r="E57" s="162" t="n">
        <v>243856.69</v>
      </c>
      <c r="F57" s="162" t="n">
        <v>77193.5079209369</v>
      </c>
      <c r="G57" s="162" t="n">
        <v>4795.59125425993</v>
      </c>
      <c r="H57" s="162" t="n">
        <v>-24579.4087457396</v>
      </c>
      <c r="I57" s="162" t="n">
        <v>478888.752787913</v>
      </c>
      <c r="J57" s="162" t="n">
        <v>171828.547987913</v>
      </c>
      <c r="K57" s="162" t="n">
        <v>171828.547987913</v>
      </c>
      <c r="L57" s="162" t="n">
        <v>476879.116623526</v>
      </c>
      <c r="M57" s="162" t="n">
        <v>507880.050630907</v>
      </c>
      <c r="N57" s="162" t="n">
        <v>255504.966544817</v>
      </c>
      <c r="O57" s="162" t="n">
        <v>255504.966544827</v>
      </c>
      <c r="P57" s="162" t="n">
        <v>255504.966544827</v>
      </c>
      <c r="Q57" s="162" t="n">
        <v>255504.966544817</v>
      </c>
      <c r="R57" s="162" t="n">
        <v>-411966.093897963</v>
      </c>
      <c r="S57" s="162" t="n">
        <v>404202.381102027</v>
      </c>
      <c r="T57" s="162" t="n">
        <v>562864.259388238</v>
      </c>
      <c r="U57" s="162" t="n">
        <v>324683.812184128</v>
      </c>
      <c r="V57" s="162" t="n">
        <v>59005.0606073667</v>
      </c>
      <c r="W57" s="162" t="n">
        <v>59005.0606073677</v>
      </c>
      <c r="X57" s="162" t="n">
        <v>80815.3650471163</v>
      </c>
      <c r="Y57" s="162" t="n">
        <v>37194.7561676172</v>
      </c>
      <c r="Z57" s="162" t="n">
        <v>37194.7561676162</v>
      </c>
      <c r="AA57" s="162" t="n">
        <v>37194.7561676172</v>
      </c>
      <c r="AB57" s="162" t="n">
        <v>37194.7561676162</v>
      </c>
      <c r="AC57" s="162" t="n">
        <v>37194.7561676172</v>
      </c>
      <c r="AD57" s="162" t="n">
        <v>110433.446720217</v>
      </c>
      <c r="AE57" s="162" t="n">
        <v>-53608.5849649826</v>
      </c>
      <c r="AF57" s="162" t="n">
        <v>-619655.004096433</v>
      </c>
      <c r="AG57" s="162" t="n">
        <v>104051.055903567</v>
      </c>
      <c r="AH57" s="162" t="n">
        <v>104051.055903567</v>
      </c>
      <c r="AI57" s="162" t="n">
        <v>104051.055903567</v>
      </c>
      <c r="AJ57" s="162" t="n">
        <v>232047.185471317</v>
      </c>
      <c r="AK57" s="162" t="n">
        <v>2720.78666242689</v>
      </c>
      <c r="AL57" s="162" t="n">
        <v>261371.507820827</v>
      </c>
      <c r="AM57" s="162" t="n">
        <v>-161091.336737893</v>
      </c>
      <c r="AN57" s="162" t="n">
        <v>-161091.336737893</v>
      </c>
      <c r="AO57" s="162" t="n">
        <v>-65712.2712752431</v>
      </c>
      <c r="AP57" s="162" t="n">
        <v>-230456.049993373</v>
      </c>
      <c r="AQ57" s="162" t="n">
        <v>-230456.049993373</v>
      </c>
      <c r="AR57" s="162" t="n">
        <v>-230456.049993373</v>
      </c>
      <c r="AS57" s="162" t="n">
        <v>-230456.049993373</v>
      </c>
      <c r="AT57" s="162" t="n">
        <v>-230456.049993373</v>
      </c>
      <c r="AU57" s="162" t="n">
        <v>42029.5353601269</v>
      </c>
      <c r="AV57" s="162" t="n">
        <v>-403030.254050583</v>
      </c>
      <c r="AW57" s="162" t="n">
        <v>-403030.254050583</v>
      </c>
      <c r="AX57" s="162" t="n">
        <v>-403030.254050583</v>
      </c>
      <c r="AY57" s="162" t="n">
        <v>-403030.254050583</v>
      </c>
      <c r="AZ57" s="162" t="n">
        <v>-403030.254050583</v>
      </c>
      <c r="BA57" s="162" t="n">
        <v>-403030.254050583</v>
      </c>
      <c r="BB57" s="162" t="n">
        <v>-412167.385282299</v>
      </c>
      <c r="BC57" s="162" t="n">
        <v>-412167.385282299</v>
      </c>
      <c r="BD57" s="162" t="n">
        <v>-412167.385282299</v>
      </c>
      <c r="BE57" s="162" t="n">
        <v>-412167.385282302</v>
      </c>
      <c r="BF57" s="162" t="n">
        <v>-412167.385282302</v>
      </c>
      <c r="BG57" s="162" t="n">
        <v>-412167.385282302</v>
      </c>
      <c r="BH57" s="162" t="n">
        <v>-412167.385282302</v>
      </c>
      <c r="BI57" s="162" t="n">
        <v>-163231.110226702</v>
      </c>
      <c r="BJ57" s="162" t="n">
        <v>-569827.026150849</v>
      </c>
      <c r="BK57" s="162" t="n">
        <v>-569827.026150849</v>
      </c>
      <c r="BL57" s="162" t="n">
        <v>-569827.026150849</v>
      </c>
      <c r="BM57" s="162" t="n">
        <v>-569827.026150849</v>
      </c>
      <c r="BN57" s="162" t="n">
        <v>-579146.900007199</v>
      </c>
      <c r="BO57" s="162" t="n">
        <v>-579146.900007199</v>
      </c>
      <c r="BP57" s="162" t="n">
        <v>-579146.900007199</v>
      </c>
      <c r="BQ57" s="162" t="n">
        <v>-579146.900007199</v>
      </c>
      <c r="BR57" s="162" t="n">
        <v>-579146.900007199</v>
      </c>
      <c r="BS57" s="162" t="n">
        <v>-579146.900007199</v>
      </c>
      <c r="BT57" s="162" t="n">
        <v>-579146.900007199</v>
      </c>
      <c r="BU57" s="162" t="n">
        <v>-579146.900007199</v>
      </c>
      <c r="BV57" s="162" t="n">
        <v>-579146.900007199</v>
      </c>
      <c r="BW57" s="162" t="n">
        <v>-579146.900007199</v>
      </c>
      <c r="BX57" s="162" t="n">
        <v>-579146.900007199</v>
      </c>
      <c r="BY57" s="162" t="n">
        <v>-579146.900007199</v>
      </c>
      <c r="BZ57" s="162" t="n">
        <v>-588653.171340677</v>
      </c>
      <c r="CA57" s="162" t="n">
        <v>-588653.171340677</v>
      </c>
      <c r="CB57" s="162" t="n">
        <v>-588653.171340677</v>
      </c>
      <c r="CC57" s="162" t="n">
        <v>-588653.171340677</v>
      </c>
      <c r="CD57" s="162" t="n">
        <v>-588653.171340677</v>
      </c>
      <c r="CE57" s="162" t="n">
        <v>-588653.171340677</v>
      </c>
      <c r="CF57" s="162" t="n">
        <v>-588653.171340677</v>
      </c>
      <c r="CG57" s="162" t="n">
        <v>-588653.171340677</v>
      </c>
      <c r="CH57" s="162" t="n">
        <v>-588653.171340677</v>
      </c>
      <c r="CI57" s="162" t="n">
        <v>-588653.171340677</v>
      </c>
      <c r="CJ57" s="162" t="n">
        <v>-588653.171340677</v>
      </c>
      <c r="CK57" s="162" t="n">
        <v>-588653.171340677</v>
      </c>
      <c r="CL57" s="162" t="n">
        <v>-598349.568100823</v>
      </c>
      <c r="CM57" s="162" t="n">
        <v>-598349.568100823</v>
      </c>
      <c r="CN57" s="162" t="n">
        <v>-598349.568100823</v>
      </c>
      <c r="CO57" s="162" t="n">
        <v>-598349.568100823</v>
      </c>
      <c r="CP57" s="162" t="n">
        <v>-598349.568100823</v>
      </c>
      <c r="CQ57" s="162" t="n">
        <v>-598349.568100823</v>
      </c>
      <c r="CR57" s="162" t="n">
        <v>-598349.568100823</v>
      </c>
      <c r="CS57" s="162" t="n">
        <v>-598349.568100823</v>
      </c>
      <c r="CT57" s="162" t="n">
        <v>-598349.568100823</v>
      </c>
      <c r="CU57" s="162" t="n">
        <v>-541129.466733473</v>
      </c>
      <c r="CV57" s="162" t="n">
        <v>-541129.466733473</v>
      </c>
      <c r="CW57" s="162" t="n">
        <v>-541129.466733473</v>
      </c>
      <c r="CX57" s="162" t="n">
        <v>-549875.389401476</v>
      </c>
      <c r="CY57" s="162" t="n">
        <v>-549875.389401476</v>
      </c>
      <c r="CZ57" s="162" t="n">
        <v>-549875.389401476</v>
      </c>
      <c r="DA57" s="162" t="n">
        <v>-549875.389401476</v>
      </c>
      <c r="DB57" s="162" t="n">
        <v>-549875.389401476</v>
      </c>
      <c r="DC57" s="162" t="n">
        <v>-549875.389401476</v>
      </c>
      <c r="DD57" s="162" t="n">
        <v>-549875.389401476</v>
      </c>
      <c r="DE57" s="162" t="n">
        <v>-549875.389401476</v>
      </c>
      <c r="DF57" s="162" t="n">
        <v>-549875.389401476</v>
      </c>
    </row>
    <row r="58" customFormat="false" ht="15" hidden="false" customHeight="true" outlineLevel="0" collapsed="false">
      <c r="A58" s="99" t="s">
        <v>99</v>
      </c>
      <c r="C58" s="165" t="n">
        <f aca="false">IFERROR(C57/C13,0)</f>
        <v>-0.0276785988569409</v>
      </c>
      <c r="D58" s="165" t="n">
        <f aca="false">IFERROR(D57/D13,0)</f>
        <v>-0.102464901385612</v>
      </c>
      <c r="E58" s="165" t="n">
        <f aca="false">IFERROR(E57/E13,0)</f>
        <v>0.0912563488127398</v>
      </c>
      <c r="F58" s="165" t="n">
        <f aca="false">IFERROR(F57/F13,0)</f>
        <v>0.0173298465800976</v>
      </c>
      <c r="G58" s="165" t="n">
        <f aca="false">IFERROR(G57/G13,0)</f>
        <v>0.00103190312584528</v>
      </c>
      <c r="H58" s="165" t="n">
        <f aca="false">IFERROR(H57/H13,0)</f>
        <v>-0.00513830988769468</v>
      </c>
      <c r="I58" s="165" t="n">
        <f aca="false">IFERROR(I57/I13,0)</f>
        <v>0.0835258951271783</v>
      </c>
      <c r="J58" s="165" t="n">
        <f aca="false">IFERROR(J57/J13,0)</f>
        <v>0.0291585151848811</v>
      </c>
      <c r="K58" s="165" t="n">
        <f aca="false">IFERROR(K57/K13,0)</f>
        <v>0.0287072206647552</v>
      </c>
      <c r="L58" s="165" t="n">
        <f aca="false">IFERROR(L57/L13,0)</f>
        <v>0.0719850664285797</v>
      </c>
      <c r="M58" s="165" t="n">
        <f aca="false">IFERROR(M57/M13,0)</f>
        <v>0.0699094476542191</v>
      </c>
      <c r="N58" s="165" t="n">
        <f aca="false">IFERROR(N57/N13,0)</f>
        <v>0.0365905286174057</v>
      </c>
      <c r="O58" s="165" t="n">
        <f aca="false">IFERROR(O57/O13,0)</f>
        <v>0.035633773223876</v>
      </c>
      <c r="P58" s="165" t="n">
        <f aca="false">IFERROR(P57/P13,0)</f>
        <v>0.0349944801662139</v>
      </c>
      <c r="Q58" s="165" t="n">
        <f aca="false">IFERROR(Q57/Q13,0)</f>
        <v>0.0346548085310985</v>
      </c>
      <c r="R58" s="165" t="n">
        <f aca="false">IFERROR(R57/R13,0)</f>
        <v>-0.050795343294945</v>
      </c>
      <c r="S58" s="165" t="n">
        <f aca="false">IFERROR(S57/S13,0)</f>
        <v>0.0495244343315864</v>
      </c>
      <c r="T58" s="165" t="n">
        <f aca="false">IFERROR(T57/T13,0)</f>
        <v>0.0690622206771117</v>
      </c>
      <c r="U58" s="165" t="n">
        <f aca="false">IFERROR(U57/U13,0)</f>
        <v>0.0437191547040497</v>
      </c>
      <c r="V58" s="165" t="n">
        <f aca="false">IFERROR(V57/V13,0)</f>
        <v>0.00848544419508858</v>
      </c>
      <c r="W58" s="165" t="n">
        <f aca="false">IFERROR(W57/W13,0)</f>
        <v>0.00848643812066759</v>
      </c>
      <c r="X58" s="165" t="n">
        <f aca="false">IFERROR(X57/X13,0)</f>
        <v>0.0117880175166161</v>
      </c>
      <c r="Y58" s="165" t="n">
        <f aca="false">IFERROR(Y57/Y13,0)</f>
        <v>0.00563862231580771</v>
      </c>
      <c r="Z58" s="165" t="n">
        <f aca="false">IFERROR(Z57/Z13,0)</f>
        <v>0.00584990253965618</v>
      </c>
      <c r="AA58" s="165" t="n">
        <f aca="false">IFERROR(AA57/AA13,0)</f>
        <v>0.00613653352507423</v>
      </c>
      <c r="AB58" s="165" t="n">
        <f aca="false">IFERROR(AB57/AB13,0)</f>
        <v>0.00649960124595134</v>
      </c>
      <c r="AC58" s="165" t="n">
        <f aca="false">IFERROR(AC57/AC13,0)</f>
        <v>0.00694035554431828</v>
      </c>
      <c r="AD58" s="165" t="n">
        <f aca="false">IFERROR(AD57/AD13,0)</f>
        <v>0.0221502466866728</v>
      </c>
      <c r="AE58" s="165" t="n">
        <f aca="false">IFERROR(AE57/AE13,0)</f>
        <v>-0.012383939800172</v>
      </c>
      <c r="AF58" s="165" t="n">
        <f aca="false">IFERROR(AF57/AF13,0)</f>
        <v>-0.145646882929711</v>
      </c>
      <c r="AG58" s="165" t="n">
        <f aca="false">IFERROR(AG57/AG13,0)</f>
        <v>0.0302716750479491</v>
      </c>
      <c r="AH58" s="165" t="n">
        <f aca="false">IFERROR(AH57/AH13,0)</f>
        <v>0.0298747215140425</v>
      </c>
      <c r="AI58" s="165" t="n">
        <f aca="false">IFERROR(AI57/AI13,0)</f>
        <v>0.0296361913542734</v>
      </c>
      <c r="AJ58" s="165" t="n">
        <f aca="false">IFERROR(AJ57/AJ13,0)</f>
        <v>0.065888999765768</v>
      </c>
      <c r="AK58" s="165" t="n">
        <f aca="false">IFERROR(AK57/AK13,0)</f>
        <v>0.00077379969162039</v>
      </c>
      <c r="AL58" s="165" t="n">
        <f aca="false">IFERROR(AL57/AL13,0)</f>
        <v>0.0747904788455928</v>
      </c>
      <c r="AM58" s="165" t="n">
        <f aca="false">IFERROR(AM57/AM13,0)</f>
        <v>-0.0465807469205635</v>
      </c>
      <c r="AN58" s="165" t="n">
        <f aca="false">IFERROR(AN57/AN13,0)</f>
        <v>-0.0472717456555632</v>
      </c>
      <c r="AO58" s="165" t="n">
        <f aca="false">IFERROR(AO57/AO13,0)</f>
        <v>-0.019651665804181</v>
      </c>
      <c r="AP58" s="165" t="n">
        <f aca="false">IFERROR(AP57/AP13,0)</f>
        <v>-0.0756171560874285</v>
      </c>
      <c r="AQ58" s="165" t="n">
        <f aca="false">IFERROR(AQ57/AQ13,0)</f>
        <v>-0.0770343143191285</v>
      </c>
      <c r="AR58" s="165" t="n">
        <f aca="false">IFERROR(AR57/AR13,0)</f>
        <v>-0.0788940943909012</v>
      </c>
      <c r="AS58" s="165" t="n">
        <f aca="false">IFERROR(AS57/AS13,0)</f>
        <v>-0.0812405024671969</v>
      </c>
      <c r="AT58" s="165" t="n">
        <f aca="false">IFERROR(AT57/AT13,0)</f>
        <v>-0.0841288501455523</v>
      </c>
      <c r="AU58" s="165" t="n">
        <f aca="false">IFERROR(AU57/AU13,0)</f>
        <v>0.0159813424056486</v>
      </c>
      <c r="AV58" s="165" t="n">
        <f aca="false">IFERROR(AV57/AV13,0)</f>
        <v>-0.214130249789158</v>
      </c>
      <c r="AW58" s="165" t="n">
        <f aca="false">IFERROR(AW57/AW13,0)</f>
        <v>-0.218450004808168</v>
      </c>
      <c r="AX58" s="165" t="n">
        <f aca="false">IFERROR(AX57/AX13,0)</f>
        <v>-0.225100129144198</v>
      </c>
      <c r="AY58" s="165" t="n">
        <f aca="false">IFERROR(AY57/AY13,0)</f>
        <v>-0.234277508074266</v>
      </c>
      <c r="AZ58" s="165" t="n">
        <f aca="false">IFERROR(AZ57/AZ13,0)</f>
        <v>-0.24627792536914</v>
      </c>
      <c r="BA58" s="165" t="n">
        <f aca="false">IFERROR(BA57/BA13,0)</f>
        <v>-0.261496420008664</v>
      </c>
      <c r="BB58" s="165" t="n">
        <f aca="false">IFERROR(BB57/BB13,0)</f>
        <v>-0.286793734485519</v>
      </c>
      <c r="BC58" s="165" t="n">
        <f aca="false">IFERROR(BC57/BC13,0)</f>
        <v>-0.310661925076369</v>
      </c>
      <c r="BD58" s="165" t="n">
        <f aca="false">IFERROR(BD57/BD13,0)</f>
        <v>-0.339892094429402</v>
      </c>
      <c r="BE58" s="165" t="n">
        <f aca="false">IFERROR(BE57/BE13,0)</f>
        <v>-0.375604139864318</v>
      </c>
      <c r="BF58" s="165" t="n">
        <f aca="false">IFERROR(BF57/BF13,0)</f>
        <v>-0.419242662439579</v>
      </c>
      <c r="BG58" s="165" t="n">
        <f aca="false">IFERROR(BG57/BG13,0)</f>
        <v>-0.472644563244375</v>
      </c>
      <c r="BH58" s="165" t="n">
        <f aca="false">IFERROR(BH57/BH13,0)</f>
        <v>-0.538214489510807</v>
      </c>
      <c r="BI58" s="165" t="n">
        <f aca="false">IFERROR(BI57/BI13,0)</f>
        <v>-0.245146629480391</v>
      </c>
      <c r="BJ58" s="165" t="n">
        <f aca="false">IFERROR(BJ57/BJ13,0)</f>
        <v>0</v>
      </c>
      <c r="BK58" s="165" t="n">
        <f aca="false">IFERROR(BK57/BK13,0)</f>
        <v>0</v>
      </c>
      <c r="BL58" s="165" t="n">
        <f aca="false">IFERROR(BL57/BL13,0)</f>
        <v>0</v>
      </c>
      <c r="BM58" s="165" t="n">
        <f aca="false">IFERROR(BM57/BM13,0)</f>
        <v>0</v>
      </c>
      <c r="BN58" s="165" t="n">
        <f aca="false">IFERROR(BN57/BN13,0)</f>
        <v>0</v>
      </c>
      <c r="BO58" s="165" t="n">
        <f aca="false">IFERROR(BO57/BO13,0)</f>
        <v>0</v>
      </c>
      <c r="BP58" s="165" t="n">
        <f aca="false">IFERROR(BP57/BP13,0)</f>
        <v>0</v>
      </c>
      <c r="BQ58" s="165" t="n">
        <f aca="false">IFERROR(BQ57/BQ13,0)</f>
        <v>0</v>
      </c>
      <c r="BR58" s="165" t="n">
        <f aca="false">IFERROR(BR57/BR13,0)</f>
        <v>0</v>
      </c>
      <c r="BS58" s="165" t="n">
        <f aca="false">IFERROR(BS57/BS13,0)</f>
        <v>0</v>
      </c>
      <c r="BT58" s="165" t="n">
        <f aca="false">IFERROR(BT57/BT13,0)</f>
        <v>0</v>
      </c>
      <c r="BU58" s="165" t="n">
        <f aca="false">IFERROR(BU57/BU13,0)</f>
        <v>0</v>
      </c>
      <c r="BV58" s="165" t="n">
        <f aca="false">IFERROR(BV57/BV13,0)</f>
        <v>0</v>
      </c>
      <c r="BW58" s="165" t="n">
        <f aca="false">IFERROR(BW57/BW13,0)</f>
        <v>0</v>
      </c>
      <c r="BX58" s="165" t="n">
        <f aca="false">IFERROR(BX57/BX13,0)</f>
        <v>0</v>
      </c>
      <c r="BY58" s="165" t="n">
        <f aca="false">IFERROR(BY57/BY13,0)</f>
        <v>0</v>
      </c>
      <c r="BZ58" s="165" t="n">
        <f aca="false">IFERROR(BZ57/BZ13,0)</f>
        <v>0</v>
      </c>
      <c r="CA58" s="165" t="n">
        <f aca="false">IFERROR(CA57/CA13,0)</f>
        <v>0</v>
      </c>
      <c r="CB58" s="165" t="n">
        <f aca="false">IFERROR(CB57/CB13,0)</f>
        <v>0</v>
      </c>
      <c r="CC58" s="165" t="n">
        <f aca="false">IFERROR(CC57/CC13,0)</f>
        <v>0</v>
      </c>
      <c r="CD58" s="165" t="n">
        <f aca="false">IFERROR(CD57/CD13,0)</f>
        <v>0</v>
      </c>
      <c r="CE58" s="165" t="n">
        <f aca="false">IFERROR(CE57/CE13,0)</f>
        <v>0</v>
      </c>
      <c r="CF58" s="165" t="n">
        <f aca="false">IFERROR(CF57/CF13,0)</f>
        <v>0</v>
      </c>
      <c r="CG58" s="165" t="n">
        <f aca="false">IFERROR(CG57/CG13,0)</f>
        <v>0</v>
      </c>
      <c r="CH58" s="165" t="n">
        <f aca="false">IFERROR(CH57/CH13,0)</f>
        <v>0</v>
      </c>
      <c r="CI58" s="165" t="n">
        <f aca="false">IFERROR(CI57/CI13,0)</f>
        <v>0</v>
      </c>
      <c r="CJ58" s="165" t="n">
        <f aca="false">IFERROR(CJ57/CJ13,0)</f>
        <v>0</v>
      </c>
      <c r="CK58" s="165" t="n">
        <f aca="false">IFERROR(CK57/CK13,0)</f>
        <v>0</v>
      </c>
      <c r="CL58" s="165" t="n">
        <f aca="false">IFERROR(CL57/CL13,0)</f>
        <v>0</v>
      </c>
      <c r="CM58" s="165" t="n">
        <f aca="false">IFERROR(CM57/CM13,0)</f>
        <v>0</v>
      </c>
      <c r="CN58" s="165" t="n">
        <f aca="false">IFERROR(CN57/CN13,0)</f>
        <v>0</v>
      </c>
      <c r="CO58" s="165" t="n">
        <f aca="false">IFERROR(CO57/CO13,0)</f>
        <v>0</v>
      </c>
      <c r="CP58" s="165" t="n">
        <f aca="false">IFERROR(CP57/CP13,0)</f>
        <v>0</v>
      </c>
      <c r="CQ58" s="165" t="n">
        <f aca="false">IFERROR(CQ57/CQ13,0)</f>
        <v>0</v>
      </c>
      <c r="CR58" s="165" t="n">
        <f aca="false">IFERROR(CR57/CR13,0)</f>
        <v>0</v>
      </c>
      <c r="CS58" s="165" t="n">
        <f aca="false">IFERROR(CS57/CS13,0)</f>
        <v>0</v>
      </c>
      <c r="CT58" s="165" t="n">
        <f aca="false">IFERROR(CT57/CT13,0)</f>
        <v>0</v>
      </c>
      <c r="CU58" s="165" t="n">
        <f aca="false">IFERROR(CU57/CU13,0)</f>
        <v>0</v>
      </c>
      <c r="CV58" s="165" t="n">
        <f aca="false">IFERROR(CV57/CV13,0)</f>
        <v>0</v>
      </c>
      <c r="CW58" s="165" t="n">
        <f aca="false">IFERROR(CW57/CW13,0)</f>
        <v>0</v>
      </c>
      <c r="CX58" s="165" t="n">
        <f aca="false">IFERROR(CX57/CX13,0)</f>
        <v>0</v>
      </c>
      <c r="CY58" s="165" t="n">
        <f aca="false">IFERROR(CY57/CY13,0)</f>
        <v>0</v>
      </c>
      <c r="CZ58" s="165" t="n">
        <f aca="false">IFERROR(CZ57/CZ13,0)</f>
        <v>0</v>
      </c>
      <c r="DA58" s="165" t="n">
        <f aca="false">IFERROR(DA57/DA13,0)</f>
        <v>0</v>
      </c>
      <c r="DB58" s="165" t="n">
        <f aca="false">IFERROR(DB57/DB13,0)</f>
        <v>0</v>
      </c>
      <c r="DC58" s="165" t="n">
        <f aca="false">IFERROR(DC57/DC13,0)</f>
        <v>0</v>
      </c>
      <c r="DD58" s="165" t="n">
        <f aca="false">IFERROR(DD57/DD13,0)</f>
        <v>0</v>
      </c>
      <c r="DE58" s="165" t="n">
        <f aca="false">IFERROR(DE57/DE13,0)</f>
        <v>0</v>
      </c>
      <c r="DF58" s="165" t="n">
        <f aca="false">IFERROR(DF57/DF13,0)</f>
        <v>0</v>
      </c>
    </row>
    <row r="59" customFormat="false" ht="15" hidden="false" customHeight="true" outlineLevel="0" collapsed="false">
      <c r="A59" s="90"/>
      <c r="C59" s="104"/>
      <c r="D59" s="104"/>
      <c r="E59" s="104"/>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c r="CY59" s="158"/>
      <c r="CZ59" s="158"/>
      <c r="DA59" s="158"/>
      <c r="DB59" s="158"/>
      <c r="DC59" s="158"/>
      <c r="DD59" s="158"/>
      <c r="DE59" s="158"/>
      <c r="DF59" s="158"/>
    </row>
    <row r="60" customFormat="false" ht="15" hidden="false" customHeight="true" outlineLevel="0" collapsed="false">
      <c r="A60" s="90"/>
      <c r="C60" s="104"/>
      <c r="D60" s="104"/>
      <c r="E60" s="104"/>
      <c r="F60" s="158"/>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c r="BW60" s="158"/>
      <c r="BX60" s="158"/>
      <c r="BY60" s="158"/>
      <c r="BZ60" s="158"/>
      <c r="CA60" s="158"/>
      <c r="CB60" s="158"/>
      <c r="CC60" s="158"/>
      <c r="CD60" s="158"/>
      <c r="CE60" s="158"/>
      <c r="CF60" s="158"/>
      <c r="CG60" s="158"/>
      <c r="CH60" s="158"/>
      <c r="CI60" s="158"/>
      <c r="CJ60" s="158"/>
      <c r="CK60" s="158"/>
      <c r="CL60" s="158"/>
      <c r="CM60" s="158"/>
      <c r="CN60" s="158"/>
      <c r="CO60" s="158"/>
      <c r="CP60" s="158"/>
      <c r="CQ60" s="158"/>
      <c r="CR60" s="158"/>
      <c r="CS60" s="158"/>
      <c r="CT60" s="158"/>
      <c r="CU60" s="158"/>
      <c r="CV60" s="158"/>
      <c r="CW60" s="158"/>
      <c r="CX60" s="158"/>
      <c r="CY60" s="158"/>
      <c r="CZ60" s="158"/>
      <c r="DA60" s="158"/>
      <c r="DB60" s="158"/>
      <c r="DC60" s="158"/>
      <c r="DD60" s="158"/>
      <c r="DE60" s="158"/>
      <c r="DF60" s="158"/>
    </row>
    <row r="61" customFormat="false" ht="15" hidden="false" customHeight="true" outlineLevel="0" collapsed="false">
      <c r="A61" s="90"/>
      <c r="C61" s="104"/>
      <c r="D61" s="104"/>
      <c r="E61" s="104"/>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c r="BW61" s="158"/>
      <c r="BX61" s="158"/>
      <c r="BY61" s="158"/>
      <c r="BZ61" s="158"/>
      <c r="CA61" s="158"/>
      <c r="CB61" s="158"/>
      <c r="CC61" s="158"/>
      <c r="CD61" s="158"/>
      <c r="CE61" s="158"/>
      <c r="CF61" s="158"/>
      <c r="CG61" s="158"/>
      <c r="CH61" s="158"/>
      <c r="CI61" s="158"/>
      <c r="CJ61" s="158"/>
      <c r="CK61" s="158"/>
      <c r="CL61" s="158"/>
      <c r="CM61" s="158"/>
      <c r="CN61" s="158"/>
      <c r="CO61" s="158"/>
      <c r="CP61" s="158"/>
      <c r="CQ61" s="158"/>
      <c r="CR61" s="158"/>
      <c r="CS61" s="158"/>
      <c r="CT61" s="158"/>
      <c r="CU61" s="158"/>
      <c r="CV61" s="158"/>
      <c r="CW61" s="158"/>
      <c r="CX61" s="158"/>
      <c r="CY61" s="158"/>
      <c r="CZ61" s="158"/>
      <c r="DA61" s="158"/>
      <c r="DB61" s="158"/>
      <c r="DC61" s="158"/>
      <c r="DD61" s="158"/>
      <c r="DE61" s="158"/>
      <c r="DF61" s="158"/>
    </row>
    <row r="62" customFormat="false" ht="15" hidden="false" customHeight="true" outlineLevel="0" collapsed="false">
      <c r="A62" s="90"/>
      <c r="C62" s="104"/>
      <c r="D62" s="104"/>
      <c r="E62" s="104"/>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c r="BW62" s="158"/>
      <c r="BX62" s="158"/>
      <c r="BY62" s="158"/>
      <c r="BZ62" s="158"/>
      <c r="CA62" s="158"/>
      <c r="CB62" s="158"/>
      <c r="CC62" s="158"/>
      <c r="CD62" s="158"/>
      <c r="CE62" s="158"/>
      <c r="CF62" s="158"/>
      <c r="CG62" s="158"/>
      <c r="CH62" s="158"/>
      <c r="CI62" s="158"/>
      <c r="CJ62" s="158"/>
      <c r="CK62" s="158"/>
      <c r="CL62" s="158"/>
      <c r="CM62" s="158"/>
      <c r="CN62" s="158"/>
      <c r="CO62" s="158"/>
      <c r="CP62" s="158"/>
      <c r="CQ62" s="158"/>
      <c r="CR62" s="158"/>
      <c r="CS62" s="158"/>
      <c r="CT62" s="158"/>
      <c r="CU62" s="158"/>
      <c r="CV62" s="158"/>
      <c r="CW62" s="158"/>
      <c r="CX62" s="158"/>
      <c r="CY62" s="158"/>
      <c r="CZ62" s="158"/>
      <c r="DA62" s="158"/>
      <c r="DB62" s="158"/>
      <c r="DC62" s="158"/>
      <c r="DD62" s="158"/>
      <c r="DE62" s="158"/>
      <c r="DF62" s="158"/>
    </row>
    <row r="63" customFormat="false" ht="15" hidden="false" customHeight="true" outlineLevel="0" collapsed="false">
      <c r="A63" s="90" t="s">
        <v>118</v>
      </c>
      <c r="C63" s="104" t="n">
        <v>0</v>
      </c>
      <c r="D63" s="104" t="n">
        <v>0</v>
      </c>
      <c r="E63" s="104" t="n">
        <v>0</v>
      </c>
      <c r="F63" s="158" t="n">
        <v>0</v>
      </c>
      <c r="G63" s="158" t="n">
        <v>0</v>
      </c>
      <c r="H63" s="158" t="n">
        <v>0</v>
      </c>
      <c r="I63" s="158" t="n">
        <v>0</v>
      </c>
      <c r="J63" s="158" t="n">
        <v>0</v>
      </c>
      <c r="K63" s="158" t="n">
        <v>0</v>
      </c>
      <c r="L63" s="158" t="n">
        <v>0</v>
      </c>
      <c r="M63" s="158" t="n">
        <v>0</v>
      </c>
      <c r="N63" s="158" t="n">
        <v>0</v>
      </c>
      <c r="O63" s="158" t="n">
        <v>0</v>
      </c>
      <c r="P63" s="158" t="n">
        <v>0</v>
      </c>
      <c r="Q63" s="158" t="n">
        <v>0</v>
      </c>
      <c r="R63" s="158" t="n">
        <v>0</v>
      </c>
      <c r="S63" s="158" t="n">
        <v>0</v>
      </c>
      <c r="T63" s="158" t="n">
        <v>0</v>
      </c>
      <c r="U63" s="158" t="n">
        <v>0</v>
      </c>
      <c r="V63" s="158" t="n">
        <v>0</v>
      </c>
      <c r="W63" s="158" t="n">
        <v>0</v>
      </c>
      <c r="X63" s="158" t="n">
        <v>0</v>
      </c>
      <c r="Y63" s="158" t="n">
        <v>0</v>
      </c>
      <c r="Z63" s="158" t="n">
        <v>0</v>
      </c>
      <c r="AA63" s="158" t="n">
        <v>0</v>
      </c>
      <c r="AB63" s="158" t="n">
        <v>0</v>
      </c>
      <c r="AC63" s="158" t="n">
        <v>0</v>
      </c>
      <c r="AD63" s="158" t="n">
        <v>0</v>
      </c>
      <c r="AE63" s="158" t="n">
        <v>0</v>
      </c>
      <c r="AF63" s="158" t="n">
        <v>0</v>
      </c>
      <c r="AG63" s="158" t="n">
        <v>0</v>
      </c>
      <c r="AH63" s="158" t="n">
        <v>0</v>
      </c>
      <c r="AI63" s="158" t="n">
        <v>0</v>
      </c>
      <c r="AJ63" s="158" t="n">
        <v>0</v>
      </c>
      <c r="AK63" s="158" t="n">
        <v>0</v>
      </c>
      <c r="AL63" s="158" t="n">
        <v>0</v>
      </c>
      <c r="AM63" s="158" t="n">
        <v>0</v>
      </c>
      <c r="AN63" s="158" t="n">
        <v>0</v>
      </c>
      <c r="AO63" s="158" t="n">
        <v>0</v>
      </c>
      <c r="AP63" s="158" t="n">
        <v>0</v>
      </c>
      <c r="AQ63" s="158" t="n">
        <v>0</v>
      </c>
      <c r="AR63" s="158" t="n">
        <v>0</v>
      </c>
      <c r="AS63" s="158" t="n">
        <v>0</v>
      </c>
      <c r="AT63" s="158" t="n">
        <v>0</v>
      </c>
      <c r="AU63" s="158" t="n">
        <v>0</v>
      </c>
      <c r="AV63" s="158" t="n">
        <v>0</v>
      </c>
      <c r="AW63" s="158" t="n">
        <v>0</v>
      </c>
      <c r="AX63" s="158" t="n">
        <v>0</v>
      </c>
      <c r="AY63" s="158" t="n">
        <v>0</v>
      </c>
      <c r="AZ63" s="158" t="n">
        <v>0</v>
      </c>
      <c r="BA63" s="158" t="n">
        <v>0</v>
      </c>
      <c r="BB63" s="158" t="n">
        <v>0</v>
      </c>
      <c r="BC63" s="158" t="n">
        <v>0</v>
      </c>
      <c r="BD63" s="158" t="n">
        <v>0</v>
      </c>
      <c r="BE63" s="158" t="n">
        <v>0</v>
      </c>
      <c r="BF63" s="158" t="n">
        <v>0</v>
      </c>
      <c r="BG63" s="158" t="n">
        <v>0</v>
      </c>
      <c r="BH63" s="158" t="n">
        <v>0</v>
      </c>
      <c r="BI63" s="158" t="n">
        <v>0</v>
      </c>
      <c r="BJ63" s="158" t="n">
        <v>0</v>
      </c>
      <c r="BK63" s="158" t="n">
        <v>0</v>
      </c>
      <c r="BL63" s="158" t="n">
        <v>0</v>
      </c>
      <c r="BM63" s="158" t="n">
        <v>0</v>
      </c>
      <c r="BN63" s="158" t="n">
        <v>0</v>
      </c>
      <c r="BO63" s="158" t="n">
        <v>0</v>
      </c>
      <c r="BP63" s="158" t="n">
        <v>0</v>
      </c>
      <c r="BQ63" s="158" t="n">
        <v>0</v>
      </c>
      <c r="BR63" s="158" t="n">
        <v>0</v>
      </c>
      <c r="BS63" s="158" t="n">
        <v>0</v>
      </c>
      <c r="BT63" s="158" t="n">
        <v>0</v>
      </c>
      <c r="BU63" s="158" t="n">
        <v>0</v>
      </c>
      <c r="BV63" s="158" t="n">
        <v>0</v>
      </c>
      <c r="BW63" s="158" t="n">
        <v>0</v>
      </c>
      <c r="BX63" s="158" t="n">
        <v>0</v>
      </c>
      <c r="BY63" s="158" t="n">
        <v>0</v>
      </c>
      <c r="BZ63" s="158" t="n">
        <v>0</v>
      </c>
      <c r="CA63" s="158" t="n">
        <v>0</v>
      </c>
      <c r="CB63" s="158" t="n">
        <v>0</v>
      </c>
      <c r="CC63" s="158" t="n">
        <v>0</v>
      </c>
      <c r="CD63" s="158" t="n">
        <v>0</v>
      </c>
      <c r="CE63" s="158" t="n">
        <v>0</v>
      </c>
      <c r="CF63" s="158" t="n">
        <v>0</v>
      </c>
      <c r="CG63" s="158" t="n">
        <v>0</v>
      </c>
      <c r="CH63" s="158" t="n">
        <v>0</v>
      </c>
      <c r="CI63" s="158" t="n">
        <v>0</v>
      </c>
      <c r="CJ63" s="158" t="n">
        <v>0</v>
      </c>
      <c r="CK63" s="158" t="n">
        <v>0</v>
      </c>
      <c r="CL63" s="158" t="n">
        <v>0</v>
      </c>
      <c r="CM63" s="158" t="n">
        <v>0</v>
      </c>
      <c r="CN63" s="158" t="n">
        <v>0</v>
      </c>
      <c r="CO63" s="158" t="n">
        <v>0</v>
      </c>
      <c r="CP63" s="158" t="n">
        <v>0</v>
      </c>
      <c r="CQ63" s="158" t="n">
        <v>0</v>
      </c>
      <c r="CR63" s="158" t="n">
        <v>0</v>
      </c>
      <c r="CS63" s="158" t="n">
        <v>0</v>
      </c>
      <c r="CT63" s="158" t="n">
        <v>0</v>
      </c>
      <c r="CU63" s="158" t="n">
        <v>0</v>
      </c>
      <c r="CV63" s="158" t="n">
        <v>0</v>
      </c>
      <c r="CW63" s="158" t="n">
        <v>0</v>
      </c>
      <c r="CX63" s="158" t="n">
        <v>0</v>
      </c>
      <c r="CY63" s="158" t="n">
        <v>0</v>
      </c>
      <c r="CZ63" s="158" t="n">
        <v>0</v>
      </c>
      <c r="DA63" s="158" t="n">
        <v>0</v>
      </c>
      <c r="DB63" s="158" t="n">
        <v>0</v>
      </c>
      <c r="DC63" s="158" t="n">
        <v>0</v>
      </c>
      <c r="DD63" s="158" t="n">
        <v>0</v>
      </c>
      <c r="DE63" s="158" t="n">
        <v>0</v>
      </c>
      <c r="DF63" s="158" t="n">
        <v>0</v>
      </c>
    </row>
    <row r="64" customFormat="false" ht="15" hidden="false" customHeight="true" outlineLevel="0" collapsed="false">
      <c r="A64" s="90" t="s">
        <v>101</v>
      </c>
      <c r="C64" s="104" t="n">
        <v>833.33</v>
      </c>
      <c r="D64" s="104" t="n">
        <v>833.33</v>
      </c>
      <c r="E64" s="104" t="n">
        <v>833.33</v>
      </c>
      <c r="F64" s="158" t="n">
        <v>833.33</v>
      </c>
      <c r="G64" s="158" t="n">
        <v>833.33</v>
      </c>
      <c r="H64" s="158" t="n">
        <v>833.33</v>
      </c>
      <c r="I64" s="158" t="n">
        <v>833.33</v>
      </c>
      <c r="J64" s="158" t="n">
        <v>833.33</v>
      </c>
      <c r="K64" s="158" t="n">
        <v>0</v>
      </c>
      <c r="L64" s="158" t="n">
        <v>0</v>
      </c>
      <c r="M64" s="158" t="n">
        <v>0</v>
      </c>
      <c r="N64" s="158" t="n">
        <v>0</v>
      </c>
      <c r="O64" s="158" t="n">
        <v>0</v>
      </c>
      <c r="P64" s="158" t="n">
        <v>0</v>
      </c>
      <c r="Q64" s="158" t="n">
        <v>0</v>
      </c>
      <c r="R64" s="158" t="n">
        <v>0</v>
      </c>
      <c r="S64" s="158" t="n">
        <v>0</v>
      </c>
      <c r="T64" s="158" t="n">
        <v>0</v>
      </c>
      <c r="U64" s="158" t="n">
        <v>0</v>
      </c>
      <c r="V64" s="158" t="n">
        <v>0</v>
      </c>
      <c r="W64" s="158" t="n">
        <v>0</v>
      </c>
      <c r="X64" s="158" t="n">
        <v>0</v>
      </c>
      <c r="Y64" s="158" t="n">
        <v>0</v>
      </c>
      <c r="Z64" s="158" t="n">
        <v>0</v>
      </c>
      <c r="AA64" s="158" t="n">
        <v>0</v>
      </c>
      <c r="AB64" s="158" t="n">
        <v>0</v>
      </c>
      <c r="AC64" s="158" t="n">
        <v>0</v>
      </c>
      <c r="AD64" s="158" t="n">
        <v>0</v>
      </c>
      <c r="AE64" s="158" t="n">
        <v>0</v>
      </c>
      <c r="AF64" s="158" t="n">
        <v>0</v>
      </c>
      <c r="AG64" s="158" t="n">
        <v>0</v>
      </c>
      <c r="AH64" s="158" t="n">
        <v>0</v>
      </c>
      <c r="AI64" s="158" t="n">
        <v>0</v>
      </c>
      <c r="AJ64" s="158" t="n">
        <v>0</v>
      </c>
      <c r="AK64" s="158" t="n">
        <v>0</v>
      </c>
      <c r="AL64" s="158" t="n">
        <v>0</v>
      </c>
      <c r="AM64" s="158" t="n">
        <v>0</v>
      </c>
      <c r="AN64" s="158" t="n">
        <v>0</v>
      </c>
      <c r="AO64" s="158" t="n">
        <v>0</v>
      </c>
      <c r="AP64" s="158" t="n">
        <v>0</v>
      </c>
      <c r="AQ64" s="158" t="n">
        <v>0</v>
      </c>
      <c r="AR64" s="158" t="n">
        <v>0</v>
      </c>
      <c r="AS64" s="158" t="n">
        <v>0</v>
      </c>
      <c r="AT64" s="158" t="n">
        <v>0</v>
      </c>
      <c r="AU64" s="158" t="n">
        <v>0</v>
      </c>
      <c r="AV64" s="158" t="n">
        <v>0</v>
      </c>
      <c r="AW64" s="158" t="n">
        <v>0</v>
      </c>
      <c r="AX64" s="158" t="n">
        <v>0</v>
      </c>
      <c r="AY64" s="158" t="n">
        <v>0</v>
      </c>
      <c r="AZ64" s="158" t="n">
        <v>0</v>
      </c>
      <c r="BA64" s="158" t="n">
        <v>0</v>
      </c>
      <c r="BB64" s="158" t="n">
        <v>0</v>
      </c>
      <c r="BC64" s="158" t="n">
        <v>0</v>
      </c>
      <c r="BD64" s="158" t="n">
        <v>0</v>
      </c>
      <c r="BE64" s="158" t="n">
        <v>0</v>
      </c>
      <c r="BF64" s="158" t="n">
        <v>0</v>
      </c>
      <c r="BG64" s="158" t="n">
        <v>0</v>
      </c>
      <c r="BH64" s="158" t="n">
        <v>0</v>
      </c>
      <c r="BI64" s="158" t="n">
        <v>0</v>
      </c>
      <c r="BJ64" s="158" t="n">
        <v>0</v>
      </c>
      <c r="BK64" s="158" t="n">
        <v>0</v>
      </c>
      <c r="BL64" s="158" t="n">
        <v>0</v>
      </c>
      <c r="BM64" s="158" t="n">
        <v>0</v>
      </c>
      <c r="BN64" s="158" t="n">
        <v>0</v>
      </c>
      <c r="BO64" s="158" t="n">
        <v>0</v>
      </c>
      <c r="BP64" s="158" t="n">
        <v>0</v>
      </c>
      <c r="BQ64" s="158" t="n">
        <v>0</v>
      </c>
      <c r="BR64" s="158" t="n">
        <v>0</v>
      </c>
      <c r="BS64" s="158" t="n">
        <v>0</v>
      </c>
      <c r="BT64" s="158" t="n">
        <v>0</v>
      </c>
      <c r="BU64" s="158" t="n">
        <v>0</v>
      </c>
      <c r="BV64" s="158" t="n">
        <v>0</v>
      </c>
      <c r="BW64" s="158" t="n">
        <v>0</v>
      </c>
      <c r="BX64" s="158" t="n">
        <v>0</v>
      </c>
      <c r="BY64" s="158" t="n">
        <v>0</v>
      </c>
      <c r="BZ64" s="158" t="n">
        <v>0</v>
      </c>
      <c r="CA64" s="158" t="n">
        <v>0</v>
      </c>
      <c r="CB64" s="158" t="n">
        <v>0</v>
      </c>
      <c r="CC64" s="158" t="n">
        <v>0</v>
      </c>
      <c r="CD64" s="158" t="n">
        <v>0</v>
      </c>
      <c r="CE64" s="158" t="n">
        <v>0</v>
      </c>
      <c r="CF64" s="158" t="n">
        <v>0</v>
      </c>
      <c r="CG64" s="158" t="n">
        <v>0</v>
      </c>
      <c r="CH64" s="158" t="n">
        <v>0</v>
      </c>
      <c r="CI64" s="158" t="n">
        <v>0</v>
      </c>
      <c r="CJ64" s="158" t="n">
        <v>0</v>
      </c>
      <c r="CK64" s="158" t="n">
        <v>0</v>
      </c>
      <c r="CL64" s="158" t="n">
        <v>0</v>
      </c>
      <c r="CM64" s="158" t="n">
        <v>0</v>
      </c>
      <c r="CN64" s="158" t="n">
        <v>0</v>
      </c>
      <c r="CO64" s="158" t="n">
        <v>0</v>
      </c>
      <c r="CP64" s="158" t="n">
        <v>0</v>
      </c>
      <c r="CQ64" s="158" t="n">
        <v>0</v>
      </c>
      <c r="CR64" s="158" t="n">
        <v>0</v>
      </c>
      <c r="CS64" s="158" t="n">
        <v>0</v>
      </c>
      <c r="CT64" s="158" t="n">
        <v>0</v>
      </c>
      <c r="CU64" s="158" t="n">
        <v>0</v>
      </c>
      <c r="CV64" s="158" t="n">
        <v>0</v>
      </c>
      <c r="CW64" s="158" t="n">
        <v>0</v>
      </c>
      <c r="CX64" s="158" t="n">
        <v>0</v>
      </c>
      <c r="CY64" s="158" t="n">
        <v>0</v>
      </c>
      <c r="CZ64" s="158" t="n">
        <v>0</v>
      </c>
      <c r="DA64" s="158" t="n">
        <v>0</v>
      </c>
      <c r="DB64" s="158" t="n">
        <v>0</v>
      </c>
      <c r="DC64" s="158" t="n">
        <v>0</v>
      </c>
      <c r="DD64" s="158" t="n">
        <v>0</v>
      </c>
      <c r="DE64" s="158" t="n">
        <v>0</v>
      </c>
      <c r="DF64" s="158" t="n">
        <v>0</v>
      </c>
    </row>
    <row r="65" customFormat="false" ht="15" hidden="false" customHeight="true" outlineLevel="0" collapsed="false">
      <c r="A65" s="90" t="s">
        <v>102</v>
      </c>
      <c r="C65" s="104" t="n">
        <v>23906.25</v>
      </c>
      <c r="D65" s="104" t="n">
        <v>23906.25</v>
      </c>
      <c r="E65" s="104" t="n">
        <v>23906.25</v>
      </c>
      <c r="F65" s="158" t="n">
        <v>23906.25</v>
      </c>
      <c r="G65" s="158" t="n">
        <v>23906.25</v>
      </c>
      <c r="H65" s="158" t="n">
        <v>23906.25</v>
      </c>
      <c r="I65" s="158" t="n">
        <v>23906.25</v>
      </c>
      <c r="J65" s="158" t="n">
        <v>23906.25</v>
      </c>
      <c r="K65" s="158" t="n">
        <v>23906.25</v>
      </c>
      <c r="L65" s="158" t="n">
        <v>23906.25</v>
      </c>
      <c r="M65" s="158" t="n">
        <v>23906.25</v>
      </c>
      <c r="N65" s="158" t="n">
        <v>23906.25</v>
      </c>
      <c r="O65" s="158" t="n">
        <v>23906.25</v>
      </c>
      <c r="P65" s="158" t="n">
        <v>23906.25</v>
      </c>
      <c r="Q65" s="158" t="n">
        <v>23906.25</v>
      </c>
      <c r="R65" s="158" t="n">
        <v>23906.25</v>
      </c>
      <c r="S65" s="158" t="n">
        <v>23906.25</v>
      </c>
      <c r="T65" s="158" t="n">
        <v>23906.25</v>
      </c>
      <c r="U65" s="158" t="n">
        <v>0</v>
      </c>
      <c r="V65" s="158" t="n">
        <v>0</v>
      </c>
      <c r="W65" s="158" t="n">
        <v>0</v>
      </c>
      <c r="X65" s="158" t="n">
        <v>0</v>
      </c>
      <c r="Y65" s="158" t="n">
        <v>0</v>
      </c>
      <c r="Z65" s="158" t="n">
        <v>0</v>
      </c>
      <c r="AA65" s="158" t="n">
        <v>0</v>
      </c>
      <c r="AB65" s="158" t="n">
        <v>0</v>
      </c>
      <c r="AC65" s="158" t="n">
        <v>0</v>
      </c>
      <c r="AD65" s="158" t="n">
        <v>0</v>
      </c>
      <c r="AE65" s="158" t="n">
        <v>0</v>
      </c>
      <c r="AF65" s="158" t="n">
        <v>0</v>
      </c>
      <c r="AG65" s="158" t="n">
        <v>0</v>
      </c>
      <c r="AH65" s="158" t="n">
        <v>0</v>
      </c>
      <c r="AI65" s="158" t="n">
        <v>0</v>
      </c>
      <c r="AJ65" s="158" t="n">
        <v>0</v>
      </c>
      <c r="AK65" s="158" t="n">
        <v>0</v>
      </c>
      <c r="AL65" s="158" t="n">
        <v>0</v>
      </c>
      <c r="AM65" s="158" t="n">
        <v>0</v>
      </c>
      <c r="AN65" s="158" t="n">
        <v>0</v>
      </c>
      <c r="AO65" s="158" t="n">
        <v>0</v>
      </c>
      <c r="AP65" s="158" t="n">
        <v>0</v>
      </c>
      <c r="AQ65" s="158" t="n">
        <v>0</v>
      </c>
      <c r="AR65" s="158" t="n">
        <v>0</v>
      </c>
      <c r="AS65" s="158" t="n">
        <v>0</v>
      </c>
      <c r="AT65" s="158" t="n">
        <v>0</v>
      </c>
      <c r="AU65" s="158" t="n">
        <v>0</v>
      </c>
      <c r="AV65" s="158" t="n">
        <v>0</v>
      </c>
      <c r="AW65" s="158" t="n">
        <v>0</v>
      </c>
      <c r="AX65" s="158" t="n">
        <v>0</v>
      </c>
      <c r="AY65" s="158" t="n">
        <v>0</v>
      </c>
      <c r="AZ65" s="158" t="n">
        <v>0</v>
      </c>
      <c r="BA65" s="158" t="n">
        <v>0</v>
      </c>
      <c r="BB65" s="158" t="n">
        <v>0</v>
      </c>
      <c r="BC65" s="158" t="n">
        <v>0</v>
      </c>
      <c r="BD65" s="158" t="n">
        <v>0</v>
      </c>
      <c r="BE65" s="158" t="n">
        <v>0</v>
      </c>
      <c r="BF65" s="158" t="n">
        <v>0</v>
      </c>
      <c r="BG65" s="158" t="n">
        <v>0</v>
      </c>
      <c r="BH65" s="158" t="n">
        <v>0</v>
      </c>
      <c r="BI65" s="158" t="n">
        <v>0</v>
      </c>
      <c r="BJ65" s="158" t="n">
        <v>0</v>
      </c>
      <c r="BK65" s="158" t="n">
        <v>0</v>
      </c>
      <c r="BL65" s="158" t="n">
        <v>0</v>
      </c>
      <c r="BM65" s="158" t="n">
        <v>0</v>
      </c>
      <c r="BN65" s="158" t="n">
        <v>0</v>
      </c>
      <c r="BO65" s="158" t="n">
        <v>0</v>
      </c>
      <c r="BP65" s="158" t="n">
        <v>0</v>
      </c>
      <c r="BQ65" s="158" t="n">
        <v>0</v>
      </c>
      <c r="BR65" s="158" t="n">
        <v>0</v>
      </c>
      <c r="BS65" s="158" t="n">
        <v>0</v>
      </c>
      <c r="BT65" s="158" t="n">
        <v>0</v>
      </c>
      <c r="BU65" s="158" t="n">
        <v>0</v>
      </c>
      <c r="BV65" s="158" t="n">
        <v>0</v>
      </c>
      <c r="BW65" s="158" t="n">
        <v>0</v>
      </c>
      <c r="BX65" s="158" t="n">
        <v>0</v>
      </c>
      <c r="BY65" s="158" t="n">
        <v>0</v>
      </c>
      <c r="BZ65" s="158" t="n">
        <v>0</v>
      </c>
      <c r="CA65" s="158" t="n">
        <v>0</v>
      </c>
      <c r="CB65" s="158" t="n">
        <v>0</v>
      </c>
      <c r="CC65" s="158" t="n">
        <v>0</v>
      </c>
      <c r="CD65" s="158" t="n">
        <v>0</v>
      </c>
      <c r="CE65" s="158" t="n">
        <v>0</v>
      </c>
      <c r="CF65" s="158" t="n">
        <v>0</v>
      </c>
      <c r="CG65" s="158" t="n">
        <v>0</v>
      </c>
      <c r="CH65" s="158" t="n">
        <v>0</v>
      </c>
      <c r="CI65" s="158" t="n">
        <v>0</v>
      </c>
      <c r="CJ65" s="158" t="n">
        <v>0</v>
      </c>
      <c r="CK65" s="158" t="n">
        <v>0</v>
      </c>
      <c r="CL65" s="158" t="n">
        <v>0</v>
      </c>
      <c r="CM65" s="158" t="n">
        <v>0</v>
      </c>
      <c r="CN65" s="158" t="n">
        <v>0</v>
      </c>
      <c r="CO65" s="158" t="n">
        <v>0</v>
      </c>
      <c r="CP65" s="158" t="n">
        <v>0</v>
      </c>
      <c r="CQ65" s="158" t="n">
        <v>0</v>
      </c>
      <c r="CR65" s="158" t="n">
        <v>0</v>
      </c>
      <c r="CS65" s="158" t="n">
        <v>0</v>
      </c>
      <c r="CT65" s="158" t="n">
        <v>0</v>
      </c>
      <c r="CU65" s="158" t="n">
        <v>0</v>
      </c>
      <c r="CV65" s="158" t="n">
        <v>0</v>
      </c>
      <c r="CW65" s="158" t="n">
        <v>0</v>
      </c>
      <c r="CX65" s="158" t="n">
        <v>0</v>
      </c>
      <c r="CY65" s="158" t="n">
        <v>0</v>
      </c>
      <c r="CZ65" s="158" t="n">
        <v>0</v>
      </c>
      <c r="DA65" s="158" t="n">
        <v>0</v>
      </c>
      <c r="DB65" s="158" t="n">
        <v>0</v>
      </c>
      <c r="DC65" s="158" t="n">
        <v>0</v>
      </c>
      <c r="DD65" s="158" t="n">
        <v>0</v>
      </c>
      <c r="DE65" s="158" t="n">
        <v>0</v>
      </c>
      <c r="DF65" s="158" t="n">
        <v>0</v>
      </c>
    </row>
    <row r="66" customFormat="false" ht="15" hidden="false" customHeight="true" outlineLevel="0" collapsed="false">
      <c r="A66" s="90" t="s">
        <v>103</v>
      </c>
      <c r="C66" s="104" t="n">
        <v>0</v>
      </c>
      <c r="D66" s="104" t="n">
        <v>0</v>
      </c>
      <c r="E66" s="104" t="n">
        <v>0</v>
      </c>
      <c r="F66" s="158" t="n">
        <v>0</v>
      </c>
      <c r="G66" s="158" t="n">
        <v>0</v>
      </c>
      <c r="H66" s="158" t="n">
        <v>0</v>
      </c>
      <c r="I66" s="158" t="n">
        <v>0</v>
      </c>
      <c r="J66" s="158" t="n">
        <v>0</v>
      </c>
      <c r="K66" s="158" t="n">
        <v>0</v>
      </c>
      <c r="L66" s="158" t="n">
        <v>0</v>
      </c>
      <c r="M66" s="158" t="n">
        <v>0</v>
      </c>
      <c r="N66" s="158" t="n">
        <v>0</v>
      </c>
      <c r="O66" s="158" t="n">
        <v>0</v>
      </c>
      <c r="P66" s="158" t="n">
        <v>0</v>
      </c>
      <c r="Q66" s="158" t="n">
        <v>0</v>
      </c>
      <c r="R66" s="158" t="n">
        <v>0</v>
      </c>
      <c r="S66" s="158" t="n">
        <v>0</v>
      </c>
      <c r="T66" s="158" t="n">
        <v>0</v>
      </c>
      <c r="U66" s="158" t="n">
        <v>0</v>
      </c>
      <c r="V66" s="158" t="n">
        <v>0</v>
      </c>
      <c r="W66" s="158" t="n">
        <v>0</v>
      </c>
      <c r="X66" s="158" t="n">
        <v>0</v>
      </c>
      <c r="Y66" s="158" t="n">
        <v>0</v>
      </c>
      <c r="Z66" s="158" t="n">
        <v>57375</v>
      </c>
      <c r="AA66" s="158" t="n">
        <v>0</v>
      </c>
      <c r="AB66" s="158" t="n">
        <v>0</v>
      </c>
      <c r="AC66" s="158" t="n">
        <v>0</v>
      </c>
      <c r="AD66" s="158" t="n">
        <v>0</v>
      </c>
      <c r="AE66" s="158" t="n">
        <v>0</v>
      </c>
      <c r="AF66" s="158" t="n">
        <v>0</v>
      </c>
      <c r="AG66" s="158" t="n">
        <v>0</v>
      </c>
      <c r="AH66" s="158" t="n">
        <v>0</v>
      </c>
      <c r="AI66" s="158" t="n">
        <v>0</v>
      </c>
      <c r="AJ66" s="158" t="n">
        <v>0</v>
      </c>
      <c r="AK66" s="158" t="n">
        <v>0</v>
      </c>
      <c r="AL66" s="158" t="n">
        <v>0</v>
      </c>
      <c r="AM66" s="158" t="n">
        <v>0</v>
      </c>
      <c r="AN66" s="158" t="n">
        <v>0</v>
      </c>
      <c r="AO66" s="158" t="n">
        <v>0</v>
      </c>
      <c r="AP66" s="158" t="n">
        <v>0</v>
      </c>
      <c r="AQ66" s="158" t="n">
        <v>0</v>
      </c>
      <c r="AR66" s="158" t="n">
        <v>0</v>
      </c>
      <c r="AS66" s="158" t="n">
        <v>0</v>
      </c>
      <c r="AT66" s="158" t="n">
        <v>0</v>
      </c>
      <c r="AU66" s="158" t="n">
        <v>0</v>
      </c>
      <c r="AV66" s="158" t="n">
        <v>0</v>
      </c>
      <c r="AW66" s="158" t="n">
        <v>0</v>
      </c>
      <c r="AX66" s="158" t="n">
        <v>0</v>
      </c>
      <c r="AY66" s="158" t="n">
        <v>0</v>
      </c>
      <c r="AZ66" s="158" t="n">
        <v>0</v>
      </c>
      <c r="BA66" s="158" t="n">
        <v>0</v>
      </c>
      <c r="BB66" s="158" t="n">
        <v>0</v>
      </c>
      <c r="BC66" s="158" t="n">
        <v>0</v>
      </c>
      <c r="BD66" s="158" t="n">
        <v>0</v>
      </c>
      <c r="BE66" s="158" t="n">
        <v>0</v>
      </c>
      <c r="BF66" s="158" t="n">
        <v>0</v>
      </c>
      <c r="BG66" s="158" t="n">
        <v>0</v>
      </c>
      <c r="BH66" s="158" t="n">
        <v>0</v>
      </c>
      <c r="BI66" s="158" t="n">
        <v>0</v>
      </c>
      <c r="BJ66" s="158" t="n">
        <v>0</v>
      </c>
      <c r="BK66" s="158" t="n">
        <v>0</v>
      </c>
      <c r="BL66" s="158" t="n">
        <v>0</v>
      </c>
      <c r="BM66" s="158" t="n">
        <v>0</v>
      </c>
      <c r="BN66" s="158" t="n">
        <v>0</v>
      </c>
      <c r="BO66" s="158" t="n">
        <v>0</v>
      </c>
      <c r="BP66" s="158" t="n">
        <v>0</v>
      </c>
      <c r="BQ66" s="158" t="n">
        <v>0</v>
      </c>
      <c r="BR66" s="158" t="n">
        <v>0</v>
      </c>
      <c r="BS66" s="158" t="n">
        <v>0</v>
      </c>
      <c r="BT66" s="158" t="n">
        <v>0</v>
      </c>
      <c r="BU66" s="158" t="n">
        <v>0</v>
      </c>
      <c r="BV66" s="158" t="n">
        <v>0</v>
      </c>
      <c r="BW66" s="158" t="n">
        <v>0</v>
      </c>
      <c r="BX66" s="158" t="n">
        <v>0</v>
      </c>
      <c r="BY66" s="158" t="n">
        <v>0</v>
      </c>
      <c r="BZ66" s="158" t="n">
        <v>0</v>
      </c>
      <c r="CA66" s="158" t="n">
        <v>0</v>
      </c>
      <c r="CB66" s="158" t="n">
        <v>0</v>
      </c>
      <c r="CC66" s="158" t="n">
        <v>0</v>
      </c>
      <c r="CD66" s="158" t="n">
        <v>0</v>
      </c>
      <c r="CE66" s="158" t="n">
        <v>0</v>
      </c>
      <c r="CF66" s="158" t="n">
        <v>0</v>
      </c>
      <c r="CG66" s="158" t="n">
        <v>0</v>
      </c>
      <c r="CH66" s="158" t="n">
        <v>0</v>
      </c>
      <c r="CI66" s="158" t="n">
        <v>0</v>
      </c>
      <c r="CJ66" s="158" t="n">
        <v>0</v>
      </c>
      <c r="CK66" s="158" t="n">
        <v>0</v>
      </c>
      <c r="CL66" s="158" t="n">
        <v>0</v>
      </c>
      <c r="CM66" s="158" t="n">
        <v>0</v>
      </c>
      <c r="CN66" s="158" t="n">
        <v>0</v>
      </c>
      <c r="CO66" s="158" t="n">
        <v>0</v>
      </c>
      <c r="CP66" s="158" t="n">
        <v>0</v>
      </c>
      <c r="CQ66" s="158" t="n">
        <v>0</v>
      </c>
      <c r="CR66" s="158" t="n">
        <v>0</v>
      </c>
      <c r="CS66" s="158" t="n">
        <v>0</v>
      </c>
      <c r="CT66" s="158" t="n">
        <v>0</v>
      </c>
      <c r="CU66" s="158" t="n">
        <v>0</v>
      </c>
      <c r="CV66" s="158" t="n">
        <v>0</v>
      </c>
      <c r="CW66" s="158" t="n">
        <v>0</v>
      </c>
      <c r="CX66" s="158" t="n">
        <v>0</v>
      </c>
      <c r="CY66" s="158" t="n">
        <v>0</v>
      </c>
      <c r="CZ66" s="158" t="n">
        <v>0</v>
      </c>
      <c r="DA66" s="158" t="n">
        <v>0</v>
      </c>
      <c r="DB66" s="158" t="n">
        <v>0</v>
      </c>
      <c r="DC66" s="158" t="n">
        <v>0</v>
      </c>
      <c r="DD66" s="158" t="n">
        <v>0</v>
      </c>
      <c r="DE66" s="158" t="n">
        <v>0</v>
      </c>
      <c r="DF66" s="158" t="n">
        <v>0</v>
      </c>
    </row>
    <row r="67" customFormat="false" ht="15" hidden="false" customHeight="true" outlineLevel="0" collapsed="false">
      <c r="A67" s="90" t="s">
        <v>104</v>
      </c>
      <c r="C67" s="104" t="n">
        <v>0</v>
      </c>
      <c r="D67" s="104" t="n">
        <v>0</v>
      </c>
      <c r="E67" s="104" t="n">
        <v>0</v>
      </c>
      <c r="F67" s="158" t="n">
        <v>0</v>
      </c>
      <c r="G67" s="158" t="n">
        <v>0</v>
      </c>
      <c r="H67" s="158" t="n">
        <v>0</v>
      </c>
      <c r="I67" s="158" t="n">
        <v>0</v>
      </c>
      <c r="J67" s="158" t="n">
        <v>0</v>
      </c>
      <c r="K67" s="158" t="n">
        <v>0</v>
      </c>
      <c r="L67" s="158" t="n">
        <v>0</v>
      </c>
      <c r="M67" s="158" t="n">
        <v>0</v>
      </c>
      <c r="N67" s="158" t="n">
        <v>0</v>
      </c>
      <c r="O67" s="158" t="n">
        <v>0</v>
      </c>
      <c r="P67" s="158" t="n">
        <v>0</v>
      </c>
      <c r="Q67" s="158" t="n">
        <v>0</v>
      </c>
      <c r="R67" s="158" t="n">
        <v>0</v>
      </c>
      <c r="S67" s="158" t="n">
        <v>0</v>
      </c>
      <c r="T67" s="158" t="n">
        <v>0</v>
      </c>
      <c r="U67" s="158" t="n">
        <v>0</v>
      </c>
      <c r="V67" s="158" t="n">
        <v>0</v>
      </c>
      <c r="W67" s="158" t="n">
        <v>0</v>
      </c>
      <c r="X67" s="158" t="n">
        <v>0</v>
      </c>
      <c r="Y67" s="158" t="n">
        <v>0</v>
      </c>
      <c r="Z67" s="158" t="n">
        <v>0</v>
      </c>
      <c r="AA67" s="158" t="n">
        <v>0</v>
      </c>
      <c r="AB67" s="158" t="n">
        <v>0</v>
      </c>
      <c r="AC67" s="158" t="n">
        <v>57375</v>
      </c>
      <c r="AD67" s="158" t="n">
        <v>0</v>
      </c>
      <c r="AE67" s="158" t="n">
        <v>0</v>
      </c>
      <c r="AF67" s="158" t="n">
        <v>0</v>
      </c>
      <c r="AG67" s="158" t="n">
        <v>0</v>
      </c>
      <c r="AH67" s="158" t="n">
        <v>0</v>
      </c>
      <c r="AI67" s="158" t="n">
        <v>0</v>
      </c>
      <c r="AJ67" s="158" t="n">
        <v>0</v>
      </c>
      <c r="AK67" s="158" t="n">
        <v>0</v>
      </c>
      <c r="AL67" s="158" t="n">
        <v>0</v>
      </c>
      <c r="AM67" s="158" t="n">
        <v>0</v>
      </c>
      <c r="AN67" s="158" t="n">
        <v>0</v>
      </c>
      <c r="AO67" s="158" t="n">
        <v>0</v>
      </c>
      <c r="AP67" s="158" t="n">
        <v>0</v>
      </c>
      <c r="AQ67" s="158" t="n">
        <v>0</v>
      </c>
      <c r="AR67" s="158" t="n">
        <v>0</v>
      </c>
      <c r="AS67" s="158" t="n">
        <v>0</v>
      </c>
      <c r="AT67" s="158" t="n">
        <v>0</v>
      </c>
      <c r="AU67" s="158" t="n">
        <v>0</v>
      </c>
      <c r="AV67" s="158" t="n">
        <v>0</v>
      </c>
      <c r="AW67" s="158" t="n">
        <v>0</v>
      </c>
      <c r="AX67" s="158" t="n">
        <v>0</v>
      </c>
      <c r="AY67" s="158" t="n">
        <v>0</v>
      </c>
      <c r="AZ67" s="158" t="n">
        <v>0</v>
      </c>
      <c r="BA67" s="158" t="n">
        <v>0</v>
      </c>
      <c r="BB67" s="158" t="n">
        <v>0</v>
      </c>
      <c r="BC67" s="158" t="n">
        <v>0</v>
      </c>
      <c r="BD67" s="158" t="n">
        <v>0</v>
      </c>
      <c r="BE67" s="158" t="n">
        <v>0</v>
      </c>
      <c r="BF67" s="158" t="n">
        <v>0</v>
      </c>
      <c r="BG67" s="158" t="n">
        <v>0</v>
      </c>
      <c r="BH67" s="158" t="n">
        <v>0</v>
      </c>
      <c r="BI67" s="158" t="n">
        <v>0</v>
      </c>
      <c r="BJ67" s="158" t="n">
        <v>0</v>
      </c>
      <c r="BK67" s="158" t="n">
        <v>0</v>
      </c>
      <c r="BL67" s="158" t="n">
        <v>0</v>
      </c>
      <c r="BM67" s="158" t="n">
        <v>0</v>
      </c>
      <c r="BN67" s="158" t="n">
        <v>0</v>
      </c>
      <c r="BO67" s="158" t="n">
        <v>0</v>
      </c>
      <c r="BP67" s="158" t="n">
        <v>0</v>
      </c>
      <c r="BQ67" s="158" t="n">
        <v>0</v>
      </c>
      <c r="BR67" s="158" t="n">
        <v>0</v>
      </c>
      <c r="BS67" s="158" t="n">
        <v>0</v>
      </c>
      <c r="BT67" s="158" t="n">
        <v>0</v>
      </c>
      <c r="BU67" s="158" t="n">
        <v>0</v>
      </c>
      <c r="BV67" s="158" t="n">
        <v>0</v>
      </c>
      <c r="BW67" s="158" t="n">
        <v>0</v>
      </c>
      <c r="BX67" s="158" t="n">
        <v>0</v>
      </c>
      <c r="BY67" s="158" t="n">
        <v>0</v>
      </c>
      <c r="BZ67" s="158" t="n">
        <v>0</v>
      </c>
      <c r="CA67" s="158" t="n">
        <v>0</v>
      </c>
      <c r="CB67" s="158" t="n">
        <v>0</v>
      </c>
      <c r="CC67" s="158" t="n">
        <v>0</v>
      </c>
      <c r="CD67" s="158" t="n">
        <v>0</v>
      </c>
      <c r="CE67" s="158" t="n">
        <v>0</v>
      </c>
      <c r="CF67" s="158" t="n">
        <v>0</v>
      </c>
      <c r="CG67" s="158" t="n">
        <v>0</v>
      </c>
      <c r="CH67" s="158" t="n">
        <v>0</v>
      </c>
      <c r="CI67" s="158" t="n">
        <v>0</v>
      </c>
      <c r="CJ67" s="158" t="n">
        <v>0</v>
      </c>
      <c r="CK67" s="158" t="n">
        <v>0</v>
      </c>
      <c r="CL67" s="158" t="n">
        <v>0</v>
      </c>
      <c r="CM67" s="158" t="n">
        <v>0</v>
      </c>
      <c r="CN67" s="158" t="n">
        <v>0</v>
      </c>
      <c r="CO67" s="158" t="n">
        <v>0</v>
      </c>
      <c r="CP67" s="158" t="n">
        <v>0</v>
      </c>
      <c r="CQ67" s="158" t="n">
        <v>0</v>
      </c>
      <c r="CR67" s="158" t="n">
        <v>0</v>
      </c>
      <c r="CS67" s="158" t="n">
        <v>0</v>
      </c>
      <c r="CT67" s="158" t="n">
        <v>0</v>
      </c>
      <c r="CU67" s="158" t="n">
        <v>0</v>
      </c>
      <c r="CV67" s="158" t="n">
        <v>0</v>
      </c>
      <c r="CW67" s="158" t="n">
        <v>0</v>
      </c>
      <c r="CX67" s="158" t="n">
        <v>0</v>
      </c>
      <c r="CY67" s="158" t="n">
        <v>0</v>
      </c>
      <c r="CZ67" s="158" t="n">
        <v>0</v>
      </c>
      <c r="DA67" s="158" t="n">
        <v>0</v>
      </c>
      <c r="DB67" s="158" t="n">
        <v>0</v>
      </c>
      <c r="DC67" s="158" t="n">
        <v>0</v>
      </c>
      <c r="DD67" s="158" t="n">
        <v>0</v>
      </c>
      <c r="DE67" s="158" t="n">
        <v>0</v>
      </c>
      <c r="DF67" s="158" t="n">
        <v>0</v>
      </c>
    </row>
    <row r="68" customFormat="false" ht="15" hidden="false" customHeight="true" outlineLevel="0" collapsed="false">
      <c r="A68" s="90" t="s">
        <v>105</v>
      </c>
      <c r="C68" s="104" t="n">
        <v>0</v>
      </c>
      <c r="D68" s="104" t="n">
        <v>0</v>
      </c>
      <c r="E68" s="104" t="n">
        <v>0</v>
      </c>
      <c r="F68" s="158" t="n">
        <v>0</v>
      </c>
      <c r="G68" s="158" t="n">
        <v>0</v>
      </c>
      <c r="H68" s="158" t="n">
        <v>0</v>
      </c>
      <c r="I68" s="158" t="n">
        <v>0</v>
      </c>
      <c r="J68" s="158" t="n">
        <v>0</v>
      </c>
      <c r="K68" s="158" t="n">
        <v>0</v>
      </c>
      <c r="L68" s="158" t="n">
        <v>0</v>
      </c>
      <c r="M68" s="158" t="n">
        <v>0</v>
      </c>
      <c r="N68" s="158" t="n">
        <v>0</v>
      </c>
      <c r="O68" s="158" t="n">
        <v>0</v>
      </c>
      <c r="P68" s="158" t="n">
        <v>0</v>
      </c>
      <c r="Q68" s="158" t="n">
        <v>0</v>
      </c>
      <c r="R68" s="158" t="n">
        <v>0</v>
      </c>
      <c r="S68" s="158" t="n">
        <v>0</v>
      </c>
      <c r="T68" s="158" t="n">
        <v>0</v>
      </c>
      <c r="U68" s="158" t="n">
        <v>0</v>
      </c>
      <c r="V68" s="158" t="n">
        <v>0</v>
      </c>
      <c r="W68" s="158" t="n">
        <v>0</v>
      </c>
      <c r="X68" s="158" t="n">
        <v>0</v>
      </c>
      <c r="Y68" s="158" t="n">
        <v>0</v>
      </c>
      <c r="Z68" s="158" t="n">
        <v>0</v>
      </c>
      <c r="AA68" s="158" t="n">
        <v>0</v>
      </c>
      <c r="AB68" s="158" t="n">
        <v>0</v>
      </c>
      <c r="AC68" s="158" t="n">
        <v>0</v>
      </c>
      <c r="AD68" s="158" t="n">
        <v>0</v>
      </c>
      <c r="AE68" s="158" t="n">
        <v>0</v>
      </c>
      <c r="AF68" s="158" t="n">
        <v>57375</v>
      </c>
      <c r="AG68" s="158" t="n">
        <v>0</v>
      </c>
      <c r="AH68" s="158" t="n">
        <v>0</v>
      </c>
      <c r="AI68" s="158" t="n">
        <v>0</v>
      </c>
      <c r="AJ68" s="158" t="n">
        <v>0</v>
      </c>
      <c r="AK68" s="158" t="n">
        <v>0</v>
      </c>
      <c r="AL68" s="158" t="n">
        <v>0</v>
      </c>
      <c r="AM68" s="158" t="n">
        <v>0</v>
      </c>
      <c r="AN68" s="158" t="n">
        <v>0</v>
      </c>
      <c r="AO68" s="158" t="n">
        <v>0</v>
      </c>
      <c r="AP68" s="158" t="n">
        <v>0</v>
      </c>
      <c r="AQ68" s="158" t="n">
        <v>0</v>
      </c>
      <c r="AR68" s="158" t="n">
        <v>0</v>
      </c>
      <c r="AS68" s="158" t="n">
        <v>0</v>
      </c>
      <c r="AT68" s="158" t="n">
        <v>0</v>
      </c>
      <c r="AU68" s="158" t="n">
        <v>0</v>
      </c>
      <c r="AV68" s="158" t="n">
        <v>0</v>
      </c>
      <c r="AW68" s="158" t="n">
        <v>0</v>
      </c>
      <c r="AX68" s="158" t="n">
        <v>0</v>
      </c>
      <c r="AY68" s="158" t="n">
        <v>0</v>
      </c>
      <c r="AZ68" s="158" t="n">
        <v>0</v>
      </c>
      <c r="BA68" s="158" t="n">
        <v>0</v>
      </c>
      <c r="BB68" s="158" t="n">
        <v>0</v>
      </c>
      <c r="BC68" s="158" t="n">
        <v>0</v>
      </c>
      <c r="BD68" s="158" t="n">
        <v>0</v>
      </c>
      <c r="BE68" s="158" t="n">
        <v>0</v>
      </c>
      <c r="BF68" s="158" t="n">
        <v>0</v>
      </c>
      <c r="BG68" s="158" t="n">
        <v>0</v>
      </c>
      <c r="BH68" s="158" t="n">
        <v>0</v>
      </c>
      <c r="BI68" s="158" t="n">
        <v>0</v>
      </c>
      <c r="BJ68" s="158" t="n">
        <v>0</v>
      </c>
      <c r="BK68" s="158" t="n">
        <v>0</v>
      </c>
      <c r="BL68" s="158" t="n">
        <v>0</v>
      </c>
      <c r="BM68" s="158" t="n">
        <v>0</v>
      </c>
      <c r="BN68" s="158" t="n">
        <v>0</v>
      </c>
      <c r="BO68" s="158" t="n">
        <v>0</v>
      </c>
      <c r="BP68" s="158" t="n">
        <v>0</v>
      </c>
      <c r="BQ68" s="158" t="n">
        <v>0</v>
      </c>
      <c r="BR68" s="158" t="n">
        <v>0</v>
      </c>
      <c r="BS68" s="158" t="n">
        <v>0</v>
      </c>
      <c r="BT68" s="158" t="n">
        <v>0</v>
      </c>
      <c r="BU68" s="158" t="n">
        <v>0</v>
      </c>
      <c r="BV68" s="158" t="n">
        <v>0</v>
      </c>
      <c r="BW68" s="158" t="n">
        <v>0</v>
      </c>
      <c r="BX68" s="158" t="n">
        <v>0</v>
      </c>
      <c r="BY68" s="158" t="n">
        <v>0</v>
      </c>
      <c r="BZ68" s="158" t="n">
        <v>0</v>
      </c>
      <c r="CA68" s="158" t="n">
        <v>0</v>
      </c>
      <c r="CB68" s="158" t="n">
        <v>0</v>
      </c>
      <c r="CC68" s="158" t="n">
        <v>0</v>
      </c>
      <c r="CD68" s="158" t="n">
        <v>0</v>
      </c>
      <c r="CE68" s="158" t="n">
        <v>0</v>
      </c>
      <c r="CF68" s="158" t="n">
        <v>0</v>
      </c>
      <c r="CG68" s="158" t="n">
        <v>0</v>
      </c>
      <c r="CH68" s="158" t="n">
        <v>0</v>
      </c>
      <c r="CI68" s="158" t="n">
        <v>0</v>
      </c>
      <c r="CJ68" s="158" t="n">
        <v>0</v>
      </c>
      <c r="CK68" s="158" t="n">
        <v>0</v>
      </c>
      <c r="CL68" s="158" t="n">
        <v>0</v>
      </c>
      <c r="CM68" s="158" t="n">
        <v>0</v>
      </c>
      <c r="CN68" s="158" t="n">
        <v>0</v>
      </c>
      <c r="CO68" s="158" t="n">
        <v>0</v>
      </c>
      <c r="CP68" s="158" t="n">
        <v>0</v>
      </c>
      <c r="CQ68" s="158" t="n">
        <v>0</v>
      </c>
      <c r="CR68" s="158" t="n">
        <v>0</v>
      </c>
      <c r="CS68" s="158" t="n">
        <v>0</v>
      </c>
      <c r="CT68" s="158" t="n">
        <v>0</v>
      </c>
      <c r="CU68" s="158" t="n">
        <v>0</v>
      </c>
      <c r="CV68" s="158" t="n">
        <v>0</v>
      </c>
      <c r="CW68" s="158" t="n">
        <v>0</v>
      </c>
      <c r="CX68" s="158" t="n">
        <v>0</v>
      </c>
      <c r="CY68" s="158" t="n">
        <v>0</v>
      </c>
      <c r="CZ68" s="158" t="n">
        <v>0</v>
      </c>
      <c r="DA68" s="158" t="n">
        <v>0</v>
      </c>
      <c r="DB68" s="158" t="n">
        <v>0</v>
      </c>
      <c r="DC68" s="158" t="n">
        <v>0</v>
      </c>
      <c r="DD68" s="158" t="n">
        <v>0</v>
      </c>
      <c r="DE68" s="158" t="n">
        <v>0</v>
      </c>
      <c r="DF68" s="158" t="n">
        <v>0</v>
      </c>
    </row>
    <row r="69" customFormat="false" ht="15" hidden="false" customHeight="true" outlineLevel="0" collapsed="false">
      <c r="A69" s="90" t="s">
        <v>106</v>
      </c>
      <c r="C69" s="162" t="n">
        <v>9375</v>
      </c>
      <c r="D69" s="162" t="n">
        <v>9375</v>
      </c>
      <c r="E69" s="162" t="n">
        <v>9375</v>
      </c>
      <c r="F69" s="158" t="n">
        <v>9375</v>
      </c>
      <c r="G69" s="158" t="n">
        <v>9375</v>
      </c>
      <c r="H69" s="158" t="n">
        <v>9375</v>
      </c>
      <c r="I69" s="158" t="n">
        <v>9375</v>
      </c>
      <c r="J69" s="158" t="n">
        <v>9375</v>
      </c>
      <c r="K69" s="158" t="n">
        <v>9375</v>
      </c>
      <c r="L69" s="158" t="n">
        <v>9375</v>
      </c>
      <c r="M69" s="158" t="n">
        <v>0</v>
      </c>
      <c r="N69" s="158" t="n">
        <v>0</v>
      </c>
      <c r="O69" s="158" t="n">
        <v>0</v>
      </c>
      <c r="P69" s="158" t="n">
        <v>0</v>
      </c>
      <c r="Q69" s="158" t="n">
        <v>0</v>
      </c>
      <c r="R69" s="158" t="n">
        <v>0</v>
      </c>
      <c r="S69" s="158" t="n">
        <v>0</v>
      </c>
      <c r="T69" s="158" t="n">
        <v>0</v>
      </c>
      <c r="U69" s="158" t="n">
        <v>0</v>
      </c>
      <c r="V69" s="158" t="n">
        <v>0</v>
      </c>
      <c r="W69" s="158" t="n">
        <v>0</v>
      </c>
      <c r="X69" s="158" t="n">
        <v>0</v>
      </c>
      <c r="Y69" s="158" t="n">
        <v>0</v>
      </c>
      <c r="Z69" s="158" t="n">
        <v>0</v>
      </c>
      <c r="AA69" s="158" t="n">
        <v>0</v>
      </c>
      <c r="AB69" s="158" t="n">
        <v>0</v>
      </c>
      <c r="AC69" s="158" t="n">
        <v>0</v>
      </c>
      <c r="AD69" s="158" t="n">
        <v>0</v>
      </c>
      <c r="AE69" s="158" t="n">
        <v>0</v>
      </c>
      <c r="AF69" s="158" t="n">
        <v>0</v>
      </c>
      <c r="AG69" s="158" t="n">
        <v>0</v>
      </c>
      <c r="AH69" s="158" t="n">
        <v>0</v>
      </c>
      <c r="AI69" s="158" t="n">
        <v>0</v>
      </c>
      <c r="AJ69" s="158" t="n">
        <v>0</v>
      </c>
      <c r="AK69" s="158" t="n">
        <v>0</v>
      </c>
      <c r="AL69" s="158" t="n">
        <v>0</v>
      </c>
      <c r="AM69" s="158" t="n">
        <v>0</v>
      </c>
      <c r="AN69" s="158" t="n">
        <v>0</v>
      </c>
      <c r="AO69" s="158" t="n">
        <v>0</v>
      </c>
      <c r="AP69" s="158" t="n">
        <v>0</v>
      </c>
      <c r="AQ69" s="158" t="n">
        <v>0</v>
      </c>
      <c r="AR69" s="158" t="n">
        <v>0</v>
      </c>
      <c r="AS69" s="158" t="n">
        <v>0</v>
      </c>
      <c r="AT69" s="158" t="n">
        <v>0</v>
      </c>
      <c r="AU69" s="158" t="n">
        <v>0</v>
      </c>
      <c r="AV69" s="158" t="n">
        <v>0</v>
      </c>
      <c r="AW69" s="158" t="n">
        <v>0</v>
      </c>
      <c r="AX69" s="158" t="n">
        <v>0</v>
      </c>
      <c r="AY69" s="158" t="n">
        <v>0</v>
      </c>
      <c r="AZ69" s="158" t="n">
        <v>0</v>
      </c>
      <c r="BA69" s="158" t="n">
        <v>0</v>
      </c>
      <c r="BB69" s="158" t="n">
        <v>0</v>
      </c>
      <c r="BC69" s="158" t="n">
        <v>0</v>
      </c>
      <c r="BD69" s="158" t="n">
        <v>0</v>
      </c>
      <c r="BE69" s="158" t="n">
        <v>0</v>
      </c>
      <c r="BF69" s="158" t="n">
        <v>0</v>
      </c>
      <c r="BG69" s="158" t="n">
        <v>0</v>
      </c>
      <c r="BH69" s="158" t="n">
        <v>0</v>
      </c>
      <c r="BI69" s="158" t="n">
        <v>0</v>
      </c>
      <c r="BJ69" s="158" t="n">
        <v>0</v>
      </c>
      <c r="BK69" s="158" t="n">
        <v>0</v>
      </c>
      <c r="BL69" s="158" t="n">
        <v>0</v>
      </c>
      <c r="BM69" s="158" t="n">
        <v>0</v>
      </c>
      <c r="BN69" s="158" t="n">
        <v>0</v>
      </c>
      <c r="BO69" s="158" t="n">
        <v>0</v>
      </c>
      <c r="BP69" s="158" t="n">
        <v>0</v>
      </c>
      <c r="BQ69" s="158" t="n">
        <v>0</v>
      </c>
      <c r="BR69" s="158" t="n">
        <v>0</v>
      </c>
      <c r="BS69" s="158" t="n">
        <v>0</v>
      </c>
      <c r="BT69" s="158" t="n">
        <v>0</v>
      </c>
      <c r="BU69" s="158" t="n">
        <v>0</v>
      </c>
      <c r="BV69" s="158" t="n">
        <v>0</v>
      </c>
      <c r="BW69" s="158" t="n">
        <v>0</v>
      </c>
      <c r="BX69" s="158" t="n">
        <v>0</v>
      </c>
      <c r="BY69" s="158" t="n">
        <v>0</v>
      </c>
      <c r="BZ69" s="158" t="n">
        <v>0</v>
      </c>
      <c r="CA69" s="158" t="n">
        <v>0</v>
      </c>
      <c r="CB69" s="158" t="n">
        <v>0</v>
      </c>
      <c r="CC69" s="158" t="n">
        <v>0</v>
      </c>
      <c r="CD69" s="158" t="n">
        <v>0</v>
      </c>
      <c r="CE69" s="158" t="n">
        <v>0</v>
      </c>
      <c r="CF69" s="158" t="n">
        <v>0</v>
      </c>
      <c r="CG69" s="158" t="n">
        <v>0</v>
      </c>
      <c r="CH69" s="158" t="n">
        <v>0</v>
      </c>
      <c r="CI69" s="158" t="n">
        <v>0</v>
      </c>
      <c r="CJ69" s="158" t="n">
        <v>0</v>
      </c>
      <c r="CK69" s="158" t="n">
        <v>0</v>
      </c>
      <c r="CL69" s="158" t="n">
        <v>0</v>
      </c>
      <c r="CM69" s="158" t="n">
        <v>0</v>
      </c>
      <c r="CN69" s="158" t="n">
        <v>0</v>
      </c>
      <c r="CO69" s="158" t="n">
        <v>0</v>
      </c>
      <c r="CP69" s="158" t="n">
        <v>0</v>
      </c>
      <c r="CQ69" s="158" t="n">
        <v>0</v>
      </c>
      <c r="CR69" s="158" t="n">
        <v>0</v>
      </c>
      <c r="CS69" s="158" t="n">
        <v>0</v>
      </c>
      <c r="CT69" s="158" t="n">
        <v>0</v>
      </c>
      <c r="CU69" s="158" t="n">
        <v>0</v>
      </c>
      <c r="CV69" s="158" t="n">
        <v>0</v>
      </c>
      <c r="CW69" s="158" t="n">
        <v>0</v>
      </c>
      <c r="CX69" s="158" t="n">
        <v>0</v>
      </c>
      <c r="CY69" s="158" t="n">
        <v>0</v>
      </c>
      <c r="CZ69" s="158" t="n">
        <v>0</v>
      </c>
      <c r="DA69" s="158" t="n">
        <v>0</v>
      </c>
      <c r="DB69" s="158" t="n">
        <v>0</v>
      </c>
      <c r="DC69" s="158" t="n">
        <v>0</v>
      </c>
      <c r="DD69" s="158" t="n">
        <v>0</v>
      </c>
      <c r="DE69" s="158" t="n">
        <v>0</v>
      </c>
      <c r="DF69" s="158" t="n">
        <v>0</v>
      </c>
    </row>
    <row r="70" customFormat="false" ht="15" hidden="false" customHeight="true" outlineLevel="0" collapsed="false">
      <c r="A70" s="90" t="s">
        <v>107</v>
      </c>
      <c r="C70" s="104" t="n">
        <v>0</v>
      </c>
      <c r="D70" s="104" t="n">
        <v>0</v>
      </c>
      <c r="E70" s="104" t="n">
        <v>0</v>
      </c>
      <c r="F70" s="158" t="n">
        <v>9500</v>
      </c>
      <c r="G70" s="158" t="n">
        <v>9500</v>
      </c>
      <c r="H70" s="158" t="n">
        <v>9500</v>
      </c>
      <c r="I70" s="158" t="n">
        <v>9500</v>
      </c>
      <c r="J70" s="158" t="n">
        <v>9500</v>
      </c>
      <c r="K70" s="158" t="n">
        <v>9500</v>
      </c>
      <c r="L70" s="158" t="n">
        <v>9500</v>
      </c>
      <c r="M70" s="158" t="n">
        <v>9500</v>
      </c>
      <c r="N70" s="158" t="n">
        <v>9500</v>
      </c>
      <c r="O70" s="158" t="n">
        <v>9500</v>
      </c>
      <c r="P70" s="158" t="n">
        <v>9500</v>
      </c>
      <c r="Q70" s="158" t="n">
        <v>9500</v>
      </c>
      <c r="R70" s="158" t="n">
        <v>9500</v>
      </c>
      <c r="S70" s="158" t="n">
        <v>9500</v>
      </c>
      <c r="T70" s="158" t="n">
        <v>9500</v>
      </c>
      <c r="U70" s="158" t="n">
        <v>9500</v>
      </c>
      <c r="V70" s="158" t="n">
        <v>9500</v>
      </c>
      <c r="W70" s="158" t="n">
        <v>9500</v>
      </c>
      <c r="X70" s="158" t="n">
        <v>9500</v>
      </c>
      <c r="Y70" s="158" t="n">
        <v>9500</v>
      </c>
      <c r="Z70" s="158" t="n">
        <v>9500</v>
      </c>
      <c r="AA70" s="158" t="n">
        <v>9500</v>
      </c>
      <c r="AB70" s="158" t="n">
        <v>9500</v>
      </c>
      <c r="AC70" s="158" t="n">
        <v>9500</v>
      </c>
      <c r="AD70" s="158" t="n">
        <v>9500</v>
      </c>
      <c r="AE70" s="158" t="n">
        <v>9500</v>
      </c>
      <c r="AF70" s="158" t="n">
        <v>9500</v>
      </c>
      <c r="AG70" s="158" t="n">
        <v>9500</v>
      </c>
      <c r="AH70" s="158" t="n">
        <v>9500</v>
      </c>
      <c r="AI70" s="158" t="n">
        <v>9500</v>
      </c>
      <c r="AJ70" s="158" t="n">
        <v>0</v>
      </c>
      <c r="AK70" s="158" t="n">
        <v>0</v>
      </c>
      <c r="AL70" s="158" t="n">
        <v>0</v>
      </c>
      <c r="AM70" s="158" t="n">
        <v>0</v>
      </c>
      <c r="AN70" s="158" t="n">
        <v>0</v>
      </c>
      <c r="AO70" s="158" t="n">
        <v>0</v>
      </c>
      <c r="AP70" s="158" t="n">
        <v>0</v>
      </c>
      <c r="AQ70" s="158" t="n">
        <v>0</v>
      </c>
      <c r="AR70" s="158" t="n">
        <v>0</v>
      </c>
      <c r="AS70" s="158" t="n">
        <v>0</v>
      </c>
      <c r="AT70" s="158" t="n">
        <v>0</v>
      </c>
      <c r="AU70" s="158" t="n">
        <v>0</v>
      </c>
      <c r="AV70" s="158" t="n">
        <v>0</v>
      </c>
      <c r="AW70" s="158" t="n">
        <v>0</v>
      </c>
      <c r="AX70" s="158" t="n">
        <v>0</v>
      </c>
      <c r="AY70" s="158" t="n">
        <v>0</v>
      </c>
      <c r="AZ70" s="158" t="n">
        <v>0</v>
      </c>
      <c r="BA70" s="158" t="n">
        <v>0</v>
      </c>
      <c r="BB70" s="158" t="n">
        <v>0</v>
      </c>
      <c r="BC70" s="158" t="n">
        <v>0</v>
      </c>
      <c r="BD70" s="158" t="n">
        <v>0</v>
      </c>
      <c r="BE70" s="158" t="n">
        <v>0</v>
      </c>
      <c r="BF70" s="158" t="n">
        <v>0</v>
      </c>
      <c r="BG70" s="158" t="n">
        <v>0</v>
      </c>
      <c r="BH70" s="158" t="n">
        <v>0</v>
      </c>
      <c r="BI70" s="158" t="n">
        <v>0</v>
      </c>
      <c r="BJ70" s="158" t="n">
        <v>0</v>
      </c>
      <c r="BK70" s="158" t="n">
        <v>0</v>
      </c>
      <c r="BL70" s="158" t="n">
        <v>0</v>
      </c>
      <c r="BM70" s="158" t="n">
        <v>0</v>
      </c>
      <c r="BN70" s="158" t="n">
        <v>0</v>
      </c>
      <c r="BO70" s="158" t="n">
        <v>0</v>
      </c>
      <c r="BP70" s="158" t="n">
        <v>0</v>
      </c>
      <c r="BQ70" s="158" t="n">
        <v>0</v>
      </c>
      <c r="BR70" s="158" t="n">
        <v>0</v>
      </c>
      <c r="BS70" s="158" t="n">
        <v>0</v>
      </c>
      <c r="BT70" s="158" t="n">
        <v>0</v>
      </c>
      <c r="BU70" s="158" t="n">
        <v>0</v>
      </c>
      <c r="BV70" s="158" t="n">
        <v>0</v>
      </c>
      <c r="BW70" s="158" t="n">
        <v>0</v>
      </c>
      <c r="BX70" s="158" t="n">
        <v>0</v>
      </c>
      <c r="BY70" s="158" t="n">
        <v>0</v>
      </c>
      <c r="BZ70" s="158" t="n">
        <v>0</v>
      </c>
      <c r="CA70" s="158" t="n">
        <v>0</v>
      </c>
      <c r="CB70" s="158" t="n">
        <v>0</v>
      </c>
      <c r="CC70" s="158" t="n">
        <v>0</v>
      </c>
      <c r="CD70" s="158" t="n">
        <v>0</v>
      </c>
      <c r="CE70" s="158" t="n">
        <v>0</v>
      </c>
      <c r="CF70" s="158" t="n">
        <v>0</v>
      </c>
      <c r="CG70" s="158" t="n">
        <v>0</v>
      </c>
      <c r="CH70" s="158" t="n">
        <v>0</v>
      </c>
      <c r="CI70" s="158" t="n">
        <v>0</v>
      </c>
      <c r="CJ70" s="158" t="n">
        <v>0</v>
      </c>
      <c r="CK70" s="158" t="n">
        <v>0</v>
      </c>
      <c r="CL70" s="158" t="n">
        <v>0</v>
      </c>
      <c r="CM70" s="158" t="n">
        <v>0</v>
      </c>
      <c r="CN70" s="158" t="n">
        <v>0</v>
      </c>
      <c r="CO70" s="158" t="n">
        <v>0</v>
      </c>
      <c r="CP70" s="158" t="n">
        <v>0</v>
      </c>
      <c r="CQ70" s="158" t="n">
        <v>0</v>
      </c>
      <c r="CR70" s="158" t="n">
        <v>0</v>
      </c>
      <c r="CS70" s="158" t="n">
        <v>0</v>
      </c>
      <c r="CT70" s="158" t="n">
        <v>0</v>
      </c>
      <c r="CU70" s="158" t="n">
        <v>0</v>
      </c>
      <c r="CV70" s="158" t="n">
        <v>0</v>
      </c>
      <c r="CW70" s="158" t="n">
        <v>0</v>
      </c>
      <c r="CX70" s="158" t="n">
        <v>0</v>
      </c>
      <c r="CY70" s="158" t="n">
        <v>0</v>
      </c>
      <c r="CZ70" s="158" t="n">
        <v>0</v>
      </c>
      <c r="DA70" s="158" t="n">
        <v>0</v>
      </c>
      <c r="DB70" s="158" t="n">
        <v>0</v>
      </c>
      <c r="DC70" s="158" t="n">
        <v>0</v>
      </c>
      <c r="DD70" s="158" t="n">
        <v>0</v>
      </c>
      <c r="DE70" s="158" t="n">
        <v>0</v>
      </c>
      <c r="DF70" s="158" t="n">
        <v>0</v>
      </c>
    </row>
    <row r="71" customFormat="false" ht="15" hidden="false" customHeight="true" outlineLevel="0" collapsed="false">
      <c r="A71" s="90" t="s">
        <v>360</v>
      </c>
      <c r="C71" s="104" t="n">
        <v>0</v>
      </c>
      <c r="D71" s="104" t="n">
        <v>0</v>
      </c>
      <c r="E71" s="104" t="n">
        <v>0</v>
      </c>
      <c r="F71" s="158" t="n">
        <v>0</v>
      </c>
      <c r="G71" s="158" t="n">
        <v>0</v>
      </c>
      <c r="H71" s="158" t="n">
        <v>0</v>
      </c>
      <c r="I71" s="158" t="n">
        <v>0</v>
      </c>
      <c r="J71" s="158" t="n">
        <v>0</v>
      </c>
      <c r="K71" s="158" t="n">
        <v>0</v>
      </c>
      <c r="L71" s="158" t="n">
        <v>0</v>
      </c>
      <c r="M71" s="158" t="n">
        <v>0</v>
      </c>
      <c r="N71" s="158" t="n">
        <v>0</v>
      </c>
      <c r="O71" s="158" t="n">
        <v>0</v>
      </c>
      <c r="P71" s="158" t="n">
        <v>0</v>
      </c>
      <c r="Q71" s="158" t="n">
        <v>0</v>
      </c>
      <c r="R71" s="158" t="n">
        <v>0</v>
      </c>
      <c r="S71" s="158" t="n">
        <v>0</v>
      </c>
      <c r="T71" s="158" t="n">
        <v>0</v>
      </c>
      <c r="U71" s="158" t="n">
        <v>0</v>
      </c>
      <c r="V71" s="158" t="n">
        <v>0</v>
      </c>
      <c r="W71" s="158" t="n">
        <v>0</v>
      </c>
      <c r="X71" s="158" t="n">
        <v>0</v>
      </c>
      <c r="Y71" s="158" t="n">
        <v>0</v>
      </c>
      <c r="Z71" s="158" t="n">
        <v>0</v>
      </c>
      <c r="AA71" s="158" t="n">
        <v>0</v>
      </c>
      <c r="AB71" s="158" t="n">
        <v>0</v>
      </c>
      <c r="AC71" s="158" t="n">
        <v>0</v>
      </c>
      <c r="AD71" s="158" t="n">
        <v>0</v>
      </c>
      <c r="AE71" s="158" t="n">
        <v>0</v>
      </c>
      <c r="AF71" s="158" t="n">
        <v>0</v>
      </c>
      <c r="AG71" s="158" t="n">
        <v>0</v>
      </c>
      <c r="AH71" s="158" t="n">
        <v>0</v>
      </c>
      <c r="AI71" s="158" t="n">
        <v>0</v>
      </c>
      <c r="AJ71" s="158" t="n">
        <v>0</v>
      </c>
      <c r="AK71" s="158" t="n">
        <v>0</v>
      </c>
      <c r="AL71" s="158" t="n">
        <v>0</v>
      </c>
      <c r="AM71" s="158" t="n">
        <v>0</v>
      </c>
      <c r="AN71" s="158" t="n">
        <v>0</v>
      </c>
      <c r="AO71" s="158" t="n">
        <v>0</v>
      </c>
      <c r="AP71" s="158" t="n">
        <v>0</v>
      </c>
      <c r="AQ71" s="158" t="n">
        <v>0</v>
      </c>
      <c r="AR71" s="158" t="n">
        <v>0</v>
      </c>
      <c r="AS71" s="158" t="n">
        <v>0</v>
      </c>
      <c r="AT71" s="158" t="n">
        <v>0</v>
      </c>
      <c r="AU71" s="158" t="n">
        <v>0</v>
      </c>
      <c r="AV71" s="158" t="n">
        <v>0</v>
      </c>
      <c r="AW71" s="158" t="n">
        <v>0</v>
      </c>
      <c r="AX71" s="158" t="n">
        <v>0</v>
      </c>
      <c r="AY71" s="158" t="n">
        <v>0</v>
      </c>
      <c r="AZ71" s="158" t="n">
        <v>0</v>
      </c>
      <c r="BA71" s="158" t="n">
        <v>0</v>
      </c>
      <c r="BB71" s="158" t="n">
        <v>0</v>
      </c>
      <c r="BC71" s="158" t="n">
        <v>0</v>
      </c>
      <c r="BD71" s="158" t="n">
        <v>0</v>
      </c>
      <c r="BE71" s="158" t="n">
        <v>0</v>
      </c>
      <c r="BF71" s="158" t="n">
        <v>0</v>
      </c>
      <c r="BG71" s="158" t="n">
        <v>0</v>
      </c>
      <c r="BH71" s="158" t="n">
        <v>0</v>
      </c>
      <c r="BI71" s="158" t="n">
        <v>0</v>
      </c>
      <c r="BJ71" s="158" t="n">
        <v>0</v>
      </c>
      <c r="BK71" s="158" t="n">
        <v>0</v>
      </c>
      <c r="BL71" s="158" t="n">
        <v>0</v>
      </c>
      <c r="BM71" s="158" t="n">
        <v>0</v>
      </c>
      <c r="BN71" s="158" t="n">
        <v>0</v>
      </c>
      <c r="BO71" s="158" t="n">
        <v>0</v>
      </c>
      <c r="BP71" s="158" t="n">
        <v>0</v>
      </c>
      <c r="BQ71" s="158" t="n">
        <v>0</v>
      </c>
      <c r="BR71" s="158" t="n">
        <v>0</v>
      </c>
      <c r="BS71" s="158" t="n">
        <v>0</v>
      </c>
      <c r="BT71" s="158" t="n">
        <v>0</v>
      </c>
      <c r="BU71" s="158" t="n">
        <v>0</v>
      </c>
      <c r="BV71" s="158" t="n">
        <v>0</v>
      </c>
      <c r="BW71" s="158" t="n">
        <v>0</v>
      </c>
      <c r="BX71" s="158" t="n">
        <v>0</v>
      </c>
      <c r="BY71" s="158" t="n">
        <v>0</v>
      </c>
      <c r="BZ71" s="158" t="n">
        <v>0</v>
      </c>
      <c r="CA71" s="158" t="n">
        <v>0</v>
      </c>
      <c r="CB71" s="158" t="n">
        <v>0</v>
      </c>
      <c r="CC71" s="158" t="n">
        <v>0</v>
      </c>
      <c r="CD71" s="158" t="n">
        <v>0</v>
      </c>
      <c r="CE71" s="158" t="n">
        <v>0</v>
      </c>
      <c r="CF71" s="158" t="n">
        <v>0</v>
      </c>
      <c r="CG71" s="158" t="n">
        <v>0</v>
      </c>
      <c r="CH71" s="158" t="n">
        <v>0</v>
      </c>
      <c r="CI71" s="158" t="n">
        <v>0</v>
      </c>
      <c r="CJ71" s="158" t="n">
        <v>0</v>
      </c>
      <c r="CK71" s="158" t="n">
        <v>0</v>
      </c>
      <c r="CL71" s="158" t="n">
        <v>0</v>
      </c>
      <c r="CM71" s="158" t="n">
        <v>0</v>
      </c>
      <c r="CN71" s="158" t="n">
        <v>0</v>
      </c>
      <c r="CO71" s="158" t="n">
        <v>0</v>
      </c>
      <c r="CP71" s="158" t="n">
        <v>0</v>
      </c>
      <c r="CQ71" s="158" t="n">
        <v>0</v>
      </c>
      <c r="CR71" s="158" t="n">
        <v>0</v>
      </c>
      <c r="CS71" s="158" t="n">
        <v>0</v>
      </c>
      <c r="CT71" s="158" t="n">
        <v>0</v>
      </c>
      <c r="CU71" s="158" t="n">
        <v>0</v>
      </c>
      <c r="CV71" s="158" t="n">
        <v>0</v>
      </c>
      <c r="CW71" s="158" t="n">
        <v>0</v>
      </c>
      <c r="CX71" s="158" t="n">
        <v>0</v>
      </c>
      <c r="CY71" s="158" t="n">
        <v>0</v>
      </c>
      <c r="CZ71" s="158" t="n">
        <v>0</v>
      </c>
      <c r="DA71" s="158" t="n">
        <v>0</v>
      </c>
      <c r="DB71" s="158" t="n">
        <v>0</v>
      </c>
      <c r="DC71" s="158" t="n">
        <v>0</v>
      </c>
      <c r="DD71" s="158" t="n">
        <v>0</v>
      </c>
      <c r="DE71" s="158" t="n">
        <v>0</v>
      </c>
      <c r="DF71" s="158" t="n">
        <v>0</v>
      </c>
    </row>
    <row r="72" customFormat="false" ht="15" hidden="false" customHeight="true" outlineLevel="0" collapsed="false">
      <c r="A72" s="90" t="s">
        <v>109</v>
      </c>
      <c r="C72" s="104" t="n">
        <v>0</v>
      </c>
      <c r="D72" s="104" t="n">
        <v>0</v>
      </c>
      <c r="E72" s="104" t="n">
        <v>0</v>
      </c>
      <c r="F72" s="158" t="n">
        <v>0</v>
      </c>
      <c r="G72" s="158" t="n">
        <v>0</v>
      </c>
      <c r="H72" s="158" t="n">
        <v>0</v>
      </c>
      <c r="I72" s="158" t="n">
        <v>0</v>
      </c>
      <c r="J72" s="158" t="n">
        <v>0</v>
      </c>
      <c r="K72" s="158" t="n">
        <v>0</v>
      </c>
      <c r="L72" s="158" t="n">
        <v>0</v>
      </c>
      <c r="M72" s="158" t="n">
        <v>0</v>
      </c>
      <c r="N72" s="158" t="n">
        <v>0</v>
      </c>
      <c r="O72" s="158" t="n">
        <v>0</v>
      </c>
      <c r="P72" s="158" t="n">
        <v>0</v>
      </c>
      <c r="Q72" s="158" t="n">
        <v>0</v>
      </c>
      <c r="R72" s="158" t="n">
        <v>0</v>
      </c>
      <c r="S72" s="158" t="n">
        <v>0</v>
      </c>
      <c r="T72" s="158" t="n">
        <v>0</v>
      </c>
      <c r="U72" s="158" t="n">
        <v>0</v>
      </c>
      <c r="V72" s="158" t="n">
        <v>0</v>
      </c>
      <c r="W72" s="158" t="n">
        <v>0</v>
      </c>
      <c r="X72" s="158" t="n">
        <v>0</v>
      </c>
      <c r="Y72" s="158" t="n">
        <v>0</v>
      </c>
      <c r="Z72" s="158" t="n">
        <v>0</v>
      </c>
      <c r="AA72" s="158" t="n">
        <v>0</v>
      </c>
      <c r="AB72" s="158" t="n">
        <v>0</v>
      </c>
      <c r="AC72" s="158" t="n">
        <v>0</v>
      </c>
      <c r="AD72" s="158" t="n">
        <v>0</v>
      </c>
      <c r="AE72" s="158" t="n">
        <v>0</v>
      </c>
      <c r="AF72" s="158" t="n">
        <v>0</v>
      </c>
      <c r="AG72" s="158" t="n">
        <v>0</v>
      </c>
      <c r="AH72" s="158" t="n">
        <v>0</v>
      </c>
      <c r="AI72" s="158" t="n">
        <v>0</v>
      </c>
      <c r="AJ72" s="158" t="n">
        <v>0</v>
      </c>
      <c r="AK72" s="158" t="n">
        <v>0</v>
      </c>
      <c r="AL72" s="158" t="n">
        <v>0</v>
      </c>
      <c r="AM72" s="158" t="n">
        <v>0</v>
      </c>
      <c r="AN72" s="158" t="n">
        <v>0</v>
      </c>
      <c r="AO72" s="158" t="n">
        <v>0</v>
      </c>
      <c r="AP72" s="158" t="n">
        <v>0</v>
      </c>
      <c r="AQ72" s="158" t="n">
        <v>0</v>
      </c>
      <c r="AR72" s="158" t="n">
        <v>0</v>
      </c>
      <c r="AS72" s="158" t="n">
        <v>0</v>
      </c>
      <c r="AT72" s="158" t="n">
        <v>0</v>
      </c>
      <c r="AU72" s="158" t="n">
        <v>0</v>
      </c>
      <c r="AV72" s="158" t="n">
        <v>0</v>
      </c>
      <c r="AW72" s="158" t="n">
        <v>0</v>
      </c>
      <c r="AX72" s="158" t="n">
        <v>0</v>
      </c>
      <c r="AY72" s="158" t="n">
        <v>0</v>
      </c>
      <c r="AZ72" s="158" t="n">
        <v>0</v>
      </c>
      <c r="BA72" s="158" t="n">
        <v>0</v>
      </c>
      <c r="BB72" s="158" t="n">
        <v>0</v>
      </c>
      <c r="BC72" s="158" t="n">
        <v>0</v>
      </c>
      <c r="BD72" s="158" t="n">
        <v>0</v>
      </c>
      <c r="BE72" s="158" t="n">
        <v>0</v>
      </c>
      <c r="BF72" s="158" t="n">
        <v>0</v>
      </c>
      <c r="BG72" s="158" t="n">
        <v>0</v>
      </c>
      <c r="BH72" s="158" t="n">
        <v>0</v>
      </c>
      <c r="BI72" s="158" t="n">
        <v>0</v>
      </c>
      <c r="BJ72" s="158" t="n">
        <v>0</v>
      </c>
      <c r="BK72" s="158" t="n">
        <v>0</v>
      </c>
      <c r="BL72" s="158" t="n">
        <v>0</v>
      </c>
      <c r="BM72" s="158" t="n">
        <v>0</v>
      </c>
      <c r="BN72" s="158" t="n">
        <v>0</v>
      </c>
      <c r="BO72" s="158" t="n">
        <v>0</v>
      </c>
      <c r="BP72" s="158" t="n">
        <v>0</v>
      </c>
      <c r="BQ72" s="158" t="n">
        <v>0</v>
      </c>
      <c r="BR72" s="158" t="n">
        <v>0</v>
      </c>
      <c r="BS72" s="158" t="n">
        <v>0</v>
      </c>
      <c r="BT72" s="158" t="n">
        <v>0</v>
      </c>
      <c r="BU72" s="158" t="n">
        <v>0</v>
      </c>
      <c r="BV72" s="158" t="n">
        <v>0</v>
      </c>
      <c r="BW72" s="158" t="n">
        <v>0</v>
      </c>
      <c r="BX72" s="158" t="n">
        <v>0</v>
      </c>
      <c r="BY72" s="158" t="n">
        <v>0</v>
      </c>
      <c r="BZ72" s="158" t="n">
        <v>0</v>
      </c>
      <c r="CA72" s="158" t="n">
        <v>0</v>
      </c>
      <c r="CB72" s="158" t="n">
        <v>0</v>
      </c>
      <c r="CC72" s="158" t="n">
        <v>0</v>
      </c>
      <c r="CD72" s="158" t="n">
        <v>0</v>
      </c>
      <c r="CE72" s="158" t="n">
        <v>0</v>
      </c>
      <c r="CF72" s="158" t="n">
        <v>0</v>
      </c>
      <c r="CG72" s="158" t="n">
        <v>0</v>
      </c>
      <c r="CH72" s="158" t="n">
        <v>0</v>
      </c>
      <c r="CI72" s="158" t="n">
        <v>0</v>
      </c>
      <c r="CJ72" s="158" t="n">
        <v>0</v>
      </c>
      <c r="CK72" s="158" t="n">
        <v>0</v>
      </c>
      <c r="CL72" s="158" t="n">
        <v>0</v>
      </c>
      <c r="CM72" s="158" t="n">
        <v>0</v>
      </c>
      <c r="CN72" s="158" t="n">
        <v>0</v>
      </c>
      <c r="CO72" s="158" t="n">
        <v>0</v>
      </c>
      <c r="CP72" s="158" t="n">
        <v>0</v>
      </c>
      <c r="CQ72" s="158" t="n">
        <v>0</v>
      </c>
      <c r="CR72" s="158" t="n">
        <v>0</v>
      </c>
      <c r="CS72" s="158" t="n">
        <v>0</v>
      </c>
      <c r="CT72" s="158" t="n">
        <v>0</v>
      </c>
      <c r="CU72" s="158" t="n">
        <v>0</v>
      </c>
      <c r="CV72" s="158" t="n">
        <v>0</v>
      </c>
      <c r="CW72" s="158" t="n">
        <v>0</v>
      </c>
      <c r="CX72" s="158" t="n">
        <v>0</v>
      </c>
      <c r="CY72" s="158" t="n">
        <v>0</v>
      </c>
      <c r="CZ72" s="158" t="n">
        <v>0</v>
      </c>
      <c r="DA72" s="158" t="n">
        <v>0</v>
      </c>
      <c r="DB72" s="158" t="n">
        <v>0</v>
      </c>
      <c r="DC72" s="158" t="n">
        <v>0</v>
      </c>
      <c r="DD72" s="158" t="n">
        <v>0</v>
      </c>
      <c r="DE72" s="158" t="n">
        <v>0</v>
      </c>
      <c r="DF72" s="158" t="n">
        <v>0</v>
      </c>
    </row>
    <row r="73" customFormat="false" ht="15" hidden="false" customHeight="true" outlineLevel="0" collapsed="false">
      <c r="A73" s="90" t="s">
        <v>361</v>
      </c>
      <c r="C73" s="104" t="n">
        <v>0</v>
      </c>
      <c r="D73" s="104" t="n">
        <v>0</v>
      </c>
      <c r="E73" s="104" t="n">
        <v>0</v>
      </c>
      <c r="F73" s="158" t="n">
        <v>0</v>
      </c>
      <c r="G73" s="158" t="n">
        <v>0</v>
      </c>
      <c r="H73" s="158" t="n">
        <v>0</v>
      </c>
      <c r="I73" s="158" t="n">
        <v>0</v>
      </c>
      <c r="J73" s="158" t="n">
        <v>0</v>
      </c>
      <c r="K73" s="158" t="n">
        <v>0</v>
      </c>
      <c r="L73" s="158" t="n">
        <v>0</v>
      </c>
      <c r="M73" s="158" t="n">
        <v>0</v>
      </c>
      <c r="N73" s="158" t="n">
        <v>0</v>
      </c>
      <c r="O73" s="158" t="n">
        <v>0</v>
      </c>
      <c r="P73" s="158" t="n">
        <v>0</v>
      </c>
      <c r="Q73" s="158" t="n">
        <v>0</v>
      </c>
      <c r="R73" s="158" t="n">
        <v>0</v>
      </c>
      <c r="S73" s="158" t="n">
        <v>0</v>
      </c>
      <c r="T73" s="158" t="n">
        <v>0</v>
      </c>
      <c r="U73" s="158" t="n">
        <v>0</v>
      </c>
      <c r="V73" s="158" t="n">
        <v>0</v>
      </c>
      <c r="W73" s="158" t="n">
        <v>0</v>
      </c>
      <c r="X73" s="158" t="n">
        <v>0</v>
      </c>
      <c r="Y73" s="158" t="n">
        <v>0</v>
      </c>
      <c r="Z73" s="158" t="n">
        <v>0</v>
      </c>
      <c r="AA73" s="158" t="n">
        <v>0</v>
      </c>
      <c r="AB73" s="158" t="n">
        <v>0</v>
      </c>
      <c r="AC73" s="158" t="n">
        <v>0</v>
      </c>
      <c r="AD73" s="158" t="n">
        <v>0</v>
      </c>
      <c r="AE73" s="158" t="n">
        <v>0</v>
      </c>
      <c r="AF73" s="158" t="n">
        <v>0</v>
      </c>
      <c r="AG73" s="158" t="n">
        <v>0</v>
      </c>
      <c r="AH73" s="158" t="n">
        <v>0</v>
      </c>
      <c r="AI73" s="158" t="n">
        <v>0</v>
      </c>
      <c r="AJ73" s="158" t="n">
        <v>0</v>
      </c>
      <c r="AK73" s="158" t="n">
        <v>0</v>
      </c>
      <c r="AL73" s="158" t="n">
        <v>0</v>
      </c>
      <c r="AM73" s="158" t="n">
        <v>0</v>
      </c>
      <c r="AN73" s="158" t="n">
        <v>0</v>
      </c>
      <c r="AO73" s="158" t="n">
        <v>0</v>
      </c>
      <c r="AP73" s="158" t="n">
        <v>0</v>
      </c>
      <c r="AQ73" s="158" t="n">
        <v>0</v>
      </c>
      <c r="AR73" s="158" t="n">
        <v>0</v>
      </c>
      <c r="AS73" s="158" t="n">
        <v>0</v>
      </c>
      <c r="AT73" s="158" t="n">
        <v>0</v>
      </c>
      <c r="AU73" s="158" t="n">
        <v>0</v>
      </c>
      <c r="AV73" s="158" t="n">
        <v>0</v>
      </c>
      <c r="AW73" s="158" t="n">
        <v>0</v>
      </c>
      <c r="AX73" s="158" t="n">
        <v>0</v>
      </c>
      <c r="AY73" s="158" t="n">
        <v>0</v>
      </c>
      <c r="AZ73" s="158" t="n">
        <v>0</v>
      </c>
      <c r="BA73" s="158" t="n">
        <v>0</v>
      </c>
      <c r="BB73" s="158" t="n">
        <v>0</v>
      </c>
      <c r="BC73" s="158" t="n">
        <v>0</v>
      </c>
      <c r="BD73" s="158" t="n">
        <v>0</v>
      </c>
      <c r="BE73" s="158" t="n">
        <v>0</v>
      </c>
      <c r="BF73" s="158" t="n">
        <v>0</v>
      </c>
      <c r="BG73" s="158" t="n">
        <v>0</v>
      </c>
      <c r="BH73" s="158" t="n">
        <v>0</v>
      </c>
      <c r="BI73" s="158" t="n">
        <v>0</v>
      </c>
      <c r="BJ73" s="158" t="n">
        <v>0</v>
      </c>
      <c r="BK73" s="158" t="n">
        <v>0</v>
      </c>
      <c r="BL73" s="158" t="n">
        <v>0</v>
      </c>
      <c r="BM73" s="158" t="n">
        <v>0</v>
      </c>
      <c r="BN73" s="158" t="n">
        <v>0</v>
      </c>
      <c r="BO73" s="158" t="n">
        <v>0</v>
      </c>
      <c r="BP73" s="158" t="n">
        <v>0</v>
      </c>
      <c r="BQ73" s="158" t="n">
        <v>0</v>
      </c>
      <c r="BR73" s="158" t="n">
        <v>0</v>
      </c>
      <c r="BS73" s="158" t="n">
        <v>0</v>
      </c>
      <c r="BT73" s="158" t="n">
        <v>0</v>
      </c>
      <c r="BU73" s="158" t="n">
        <v>0</v>
      </c>
      <c r="BV73" s="158" t="n">
        <v>0</v>
      </c>
      <c r="BW73" s="158" t="n">
        <v>0</v>
      </c>
      <c r="BX73" s="158" t="n">
        <v>0</v>
      </c>
      <c r="BY73" s="158" t="n">
        <v>0</v>
      </c>
      <c r="BZ73" s="158" t="n">
        <v>0</v>
      </c>
      <c r="CA73" s="158" t="n">
        <v>0</v>
      </c>
      <c r="CB73" s="158" t="n">
        <v>0</v>
      </c>
      <c r="CC73" s="158" t="n">
        <v>0</v>
      </c>
      <c r="CD73" s="158" t="n">
        <v>0</v>
      </c>
      <c r="CE73" s="158" t="n">
        <v>0</v>
      </c>
      <c r="CF73" s="158" t="n">
        <v>0</v>
      </c>
      <c r="CG73" s="158" t="n">
        <v>0</v>
      </c>
      <c r="CH73" s="158" t="n">
        <v>0</v>
      </c>
      <c r="CI73" s="158" t="n">
        <v>0</v>
      </c>
      <c r="CJ73" s="158" t="n">
        <v>0</v>
      </c>
      <c r="CK73" s="158" t="n">
        <v>0</v>
      </c>
      <c r="CL73" s="158" t="n">
        <v>0</v>
      </c>
      <c r="CM73" s="158" t="n">
        <v>0</v>
      </c>
      <c r="CN73" s="158" t="n">
        <v>0</v>
      </c>
      <c r="CO73" s="158" t="n">
        <v>0</v>
      </c>
      <c r="CP73" s="158" t="n">
        <v>0</v>
      </c>
      <c r="CQ73" s="158" t="n">
        <v>0</v>
      </c>
      <c r="CR73" s="158" t="n">
        <v>0</v>
      </c>
      <c r="CS73" s="158" t="n">
        <v>0</v>
      </c>
      <c r="CT73" s="158" t="n">
        <v>0</v>
      </c>
      <c r="CU73" s="158" t="n">
        <v>0</v>
      </c>
      <c r="CV73" s="158" t="n">
        <v>0</v>
      </c>
      <c r="CW73" s="158" t="n">
        <v>0</v>
      </c>
      <c r="CX73" s="158" t="n">
        <v>0</v>
      </c>
      <c r="CY73" s="158" t="n">
        <v>0</v>
      </c>
      <c r="CZ73" s="158" t="n">
        <v>0</v>
      </c>
      <c r="DA73" s="158" t="n">
        <v>0</v>
      </c>
      <c r="DB73" s="158" t="n">
        <v>0</v>
      </c>
      <c r="DC73" s="158" t="n">
        <v>0</v>
      </c>
      <c r="DD73" s="158" t="n">
        <v>0</v>
      </c>
      <c r="DE73" s="158" t="n">
        <v>0</v>
      </c>
      <c r="DF73" s="158" t="n">
        <v>0</v>
      </c>
    </row>
    <row r="74" customFormat="false" ht="15" hidden="false" customHeight="true" outlineLevel="0" collapsed="false">
      <c r="A74" s="90" t="s">
        <v>362</v>
      </c>
      <c r="C74" s="104" t="n">
        <v>0</v>
      </c>
      <c r="D74" s="104" t="n">
        <v>0</v>
      </c>
      <c r="E74" s="104" t="n">
        <v>0</v>
      </c>
      <c r="F74" s="158" t="n">
        <v>0</v>
      </c>
      <c r="G74" s="158" t="n">
        <v>0</v>
      </c>
      <c r="H74" s="158" t="n">
        <v>0</v>
      </c>
      <c r="I74" s="158" t="n">
        <v>0</v>
      </c>
      <c r="J74" s="158" t="n">
        <v>0</v>
      </c>
      <c r="K74" s="158" t="n">
        <v>0</v>
      </c>
      <c r="L74" s="158" t="n">
        <v>0</v>
      </c>
      <c r="M74" s="158" t="n">
        <v>0</v>
      </c>
      <c r="N74" s="158" t="n">
        <v>0</v>
      </c>
      <c r="O74" s="158" t="n">
        <v>0</v>
      </c>
      <c r="P74" s="158" t="n">
        <v>0</v>
      </c>
      <c r="Q74" s="158" t="n">
        <v>0</v>
      </c>
      <c r="R74" s="158" t="n">
        <v>0</v>
      </c>
      <c r="S74" s="158" t="n">
        <v>0</v>
      </c>
      <c r="T74" s="158" t="n">
        <v>0</v>
      </c>
      <c r="U74" s="158" t="n">
        <v>0</v>
      </c>
      <c r="V74" s="158" t="n">
        <v>0</v>
      </c>
      <c r="W74" s="158" t="n">
        <v>0</v>
      </c>
      <c r="X74" s="158" t="n">
        <v>0</v>
      </c>
      <c r="Y74" s="158" t="n">
        <v>0</v>
      </c>
      <c r="Z74" s="158" t="n">
        <v>0</v>
      </c>
      <c r="AA74" s="158" t="n">
        <v>0</v>
      </c>
      <c r="AB74" s="158" t="n">
        <v>0</v>
      </c>
      <c r="AC74" s="158" t="n">
        <v>0</v>
      </c>
      <c r="AD74" s="158" t="n">
        <v>0</v>
      </c>
      <c r="AE74" s="158" t="n">
        <v>0</v>
      </c>
      <c r="AF74" s="158" t="n">
        <v>0</v>
      </c>
      <c r="AG74" s="158" t="n">
        <v>0</v>
      </c>
      <c r="AH74" s="158" t="n">
        <v>0</v>
      </c>
      <c r="AI74" s="158" t="n">
        <v>0</v>
      </c>
      <c r="AJ74" s="158" t="n">
        <v>0</v>
      </c>
      <c r="AK74" s="158" t="n">
        <v>0</v>
      </c>
      <c r="AL74" s="158" t="n">
        <v>0</v>
      </c>
      <c r="AM74" s="158" t="n">
        <v>0</v>
      </c>
      <c r="AN74" s="158" t="n">
        <v>0</v>
      </c>
      <c r="AO74" s="158" t="n">
        <v>0</v>
      </c>
      <c r="AP74" s="158" t="n">
        <v>0</v>
      </c>
      <c r="AQ74" s="158" t="n">
        <v>0</v>
      </c>
      <c r="AR74" s="158" t="n">
        <v>0</v>
      </c>
      <c r="AS74" s="158" t="n">
        <v>0</v>
      </c>
      <c r="AT74" s="158" t="n">
        <v>0</v>
      </c>
      <c r="AU74" s="158" t="n">
        <v>0</v>
      </c>
      <c r="AV74" s="158" t="n">
        <v>0</v>
      </c>
      <c r="AW74" s="158" t="n">
        <v>0</v>
      </c>
      <c r="AX74" s="158" t="n">
        <v>0</v>
      </c>
      <c r="AY74" s="158" t="n">
        <v>0</v>
      </c>
      <c r="AZ74" s="158" t="n">
        <v>0</v>
      </c>
      <c r="BA74" s="158" t="n">
        <v>0</v>
      </c>
      <c r="BB74" s="158" t="n">
        <v>0</v>
      </c>
      <c r="BC74" s="158" t="n">
        <v>0</v>
      </c>
      <c r="BD74" s="158" t="n">
        <v>0</v>
      </c>
      <c r="BE74" s="158" t="n">
        <v>0</v>
      </c>
      <c r="BF74" s="158" t="n">
        <v>0</v>
      </c>
      <c r="BG74" s="158" t="n">
        <v>0</v>
      </c>
      <c r="BH74" s="158" t="n">
        <v>0</v>
      </c>
      <c r="BI74" s="158" t="n">
        <v>0</v>
      </c>
      <c r="BJ74" s="158" t="n">
        <v>0</v>
      </c>
      <c r="BK74" s="158" t="n">
        <v>0</v>
      </c>
      <c r="BL74" s="158" t="n">
        <v>0</v>
      </c>
      <c r="BM74" s="158" t="n">
        <v>0</v>
      </c>
      <c r="BN74" s="158" t="n">
        <v>0</v>
      </c>
      <c r="BO74" s="158" t="n">
        <v>0</v>
      </c>
      <c r="BP74" s="158" t="n">
        <v>0</v>
      </c>
      <c r="BQ74" s="158" t="n">
        <v>0</v>
      </c>
      <c r="BR74" s="158" t="n">
        <v>0</v>
      </c>
      <c r="BS74" s="158" t="n">
        <v>0</v>
      </c>
      <c r="BT74" s="158" t="n">
        <v>0</v>
      </c>
      <c r="BU74" s="158" t="n">
        <v>0</v>
      </c>
      <c r="BV74" s="158" t="n">
        <v>0</v>
      </c>
      <c r="BW74" s="158" t="n">
        <v>0</v>
      </c>
      <c r="BX74" s="158" t="n">
        <v>0</v>
      </c>
      <c r="BY74" s="158" t="n">
        <v>0</v>
      </c>
      <c r="BZ74" s="158" t="n">
        <v>0</v>
      </c>
      <c r="CA74" s="158" t="n">
        <v>0</v>
      </c>
      <c r="CB74" s="158" t="n">
        <v>0</v>
      </c>
      <c r="CC74" s="158" t="n">
        <v>0</v>
      </c>
      <c r="CD74" s="158" t="n">
        <v>0</v>
      </c>
      <c r="CE74" s="158" t="n">
        <v>0</v>
      </c>
      <c r="CF74" s="158" t="n">
        <v>0</v>
      </c>
      <c r="CG74" s="158" t="n">
        <v>0</v>
      </c>
      <c r="CH74" s="158" t="n">
        <v>0</v>
      </c>
      <c r="CI74" s="158" t="n">
        <v>0</v>
      </c>
      <c r="CJ74" s="158" t="n">
        <v>0</v>
      </c>
      <c r="CK74" s="158" t="n">
        <v>0</v>
      </c>
      <c r="CL74" s="158" t="n">
        <v>0</v>
      </c>
      <c r="CM74" s="158" t="n">
        <v>0</v>
      </c>
      <c r="CN74" s="158" t="n">
        <v>0</v>
      </c>
      <c r="CO74" s="158" t="n">
        <v>0</v>
      </c>
      <c r="CP74" s="158" t="n">
        <v>0</v>
      </c>
      <c r="CQ74" s="158" t="n">
        <v>0</v>
      </c>
      <c r="CR74" s="158" t="n">
        <v>0</v>
      </c>
      <c r="CS74" s="158" t="n">
        <v>0</v>
      </c>
      <c r="CT74" s="158" t="n">
        <v>0</v>
      </c>
      <c r="CU74" s="158" t="n">
        <v>0</v>
      </c>
      <c r="CV74" s="158" t="n">
        <v>0</v>
      </c>
      <c r="CW74" s="158" t="n">
        <v>0</v>
      </c>
      <c r="CX74" s="158" t="n">
        <v>0</v>
      </c>
      <c r="CY74" s="158" t="n">
        <v>0</v>
      </c>
      <c r="CZ74" s="158" t="n">
        <v>0</v>
      </c>
      <c r="DA74" s="158" t="n">
        <v>0</v>
      </c>
      <c r="DB74" s="158" t="n">
        <v>0</v>
      </c>
      <c r="DC74" s="158" t="n">
        <v>0</v>
      </c>
      <c r="DD74" s="158" t="n">
        <v>0</v>
      </c>
      <c r="DE74" s="158" t="n">
        <v>0</v>
      </c>
      <c r="DF74" s="158" t="n">
        <v>0</v>
      </c>
    </row>
    <row r="75" customFormat="false" ht="15" hidden="false" customHeight="true" outlineLevel="0" collapsed="false">
      <c r="A75" s="90" t="s">
        <v>112</v>
      </c>
      <c r="C75" s="104" t="n">
        <v>0</v>
      </c>
      <c r="D75" s="104" t="n">
        <v>0</v>
      </c>
      <c r="E75" s="104" t="n">
        <v>0</v>
      </c>
      <c r="F75" s="158" t="n">
        <v>0</v>
      </c>
      <c r="G75" s="158" t="n">
        <v>0</v>
      </c>
      <c r="H75" s="158" t="n">
        <v>0</v>
      </c>
      <c r="I75" s="158" t="n">
        <v>0</v>
      </c>
      <c r="J75" s="158" t="n">
        <v>0</v>
      </c>
      <c r="K75" s="158" t="n">
        <v>0</v>
      </c>
      <c r="L75" s="158" t="n">
        <v>0</v>
      </c>
      <c r="M75" s="158" t="n">
        <v>0</v>
      </c>
      <c r="N75" s="158" t="n">
        <v>0</v>
      </c>
      <c r="O75" s="158" t="n">
        <v>0</v>
      </c>
      <c r="P75" s="158" t="n">
        <v>0</v>
      </c>
      <c r="Q75" s="158" t="n">
        <v>0</v>
      </c>
      <c r="R75" s="158" t="n">
        <v>0</v>
      </c>
      <c r="S75" s="158" t="n">
        <v>0</v>
      </c>
      <c r="T75" s="158" t="n">
        <v>0</v>
      </c>
      <c r="U75" s="158" t="n">
        <v>0</v>
      </c>
      <c r="V75" s="158" t="n">
        <v>0</v>
      </c>
      <c r="W75" s="158" t="n">
        <v>0</v>
      </c>
      <c r="X75" s="158" t="n">
        <v>0</v>
      </c>
      <c r="Y75" s="158" t="n">
        <v>0</v>
      </c>
      <c r="Z75" s="158" t="n">
        <v>0</v>
      </c>
      <c r="AA75" s="158" t="n">
        <v>0</v>
      </c>
      <c r="AB75" s="158" t="n">
        <v>0</v>
      </c>
      <c r="AC75" s="158" t="n">
        <v>0</v>
      </c>
      <c r="AD75" s="158" t="n">
        <v>0</v>
      </c>
      <c r="AE75" s="158" t="n">
        <v>0</v>
      </c>
      <c r="AF75" s="158" t="n">
        <v>0</v>
      </c>
      <c r="AG75" s="158" t="n">
        <v>0</v>
      </c>
      <c r="AH75" s="158" t="n">
        <v>0</v>
      </c>
      <c r="AI75" s="158" t="n">
        <v>0</v>
      </c>
      <c r="AJ75" s="158" t="n">
        <v>0</v>
      </c>
      <c r="AK75" s="158" t="n">
        <v>0</v>
      </c>
      <c r="AL75" s="158" t="n">
        <v>0</v>
      </c>
      <c r="AM75" s="158" t="n">
        <v>0</v>
      </c>
      <c r="AN75" s="158" t="n">
        <v>0</v>
      </c>
      <c r="AO75" s="158" t="n">
        <v>0</v>
      </c>
      <c r="AP75" s="158" t="n">
        <v>0</v>
      </c>
      <c r="AQ75" s="158" t="n">
        <v>0</v>
      </c>
      <c r="AR75" s="158" t="n">
        <v>0</v>
      </c>
      <c r="AS75" s="158" t="n">
        <v>0</v>
      </c>
      <c r="AT75" s="158" t="n">
        <v>0</v>
      </c>
      <c r="AU75" s="158" t="n">
        <v>0</v>
      </c>
      <c r="AV75" s="158" t="n">
        <v>0</v>
      </c>
      <c r="AW75" s="158" t="n">
        <v>0</v>
      </c>
      <c r="AX75" s="158" t="n">
        <v>0</v>
      </c>
      <c r="AY75" s="158" t="n">
        <v>0</v>
      </c>
      <c r="AZ75" s="158" t="n">
        <v>0</v>
      </c>
      <c r="BA75" s="158" t="n">
        <v>0</v>
      </c>
      <c r="BB75" s="158" t="n">
        <v>0</v>
      </c>
      <c r="BC75" s="158" t="n">
        <v>0</v>
      </c>
      <c r="BD75" s="158" t="n">
        <v>0</v>
      </c>
      <c r="BE75" s="158" t="n">
        <v>0</v>
      </c>
      <c r="BF75" s="158" t="n">
        <v>0</v>
      </c>
      <c r="BG75" s="158" t="n">
        <v>0</v>
      </c>
      <c r="BH75" s="158" t="n">
        <v>0</v>
      </c>
      <c r="BI75" s="158" t="n">
        <v>0</v>
      </c>
      <c r="BJ75" s="158" t="n">
        <v>0</v>
      </c>
      <c r="BK75" s="158" t="n">
        <v>0</v>
      </c>
      <c r="BL75" s="158" t="n">
        <v>0</v>
      </c>
      <c r="BM75" s="158" t="n">
        <v>0</v>
      </c>
      <c r="BN75" s="158" t="n">
        <v>0</v>
      </c>
      <c r="BO75" s="158" t="n">
        <v>0</v>
      </c>
      <c r="BP75" s="158" t="n">
        <v>0</v>
      </c>
      <c r="BQ75" s="158" t="n">
        <v>0</v>
      </c>
      <c r="BR75" s="158" t="n">
        <v>0</v>
      </c>
      <c r="BS75" s="158" t="n">
        <v>0</v>
      </c>
      <c r="BT75" s="158" t="n">
        <v>0</v>
      </c>
      <c r="BU75" s="158" t="n">
        <v>0</v>
      </c>
      <c r="BV75" s="158" t="n">
        <v>0</v>
      </c>
      <c r="BW75" s="158" t="n">
        <v>0</v>
      </c>
      <c r="BX75" s="158" t="n">
        <v>0</v>
      </c>
      <c r="BY75" s="158" t="n">
        <v>0</v>
      </c>
      <c r="BZ75" s="158" t="n">
        <v>0</v>
      </c>
      <c r="CA75" s="158" t="n">
        <v>0</v>
      </c>
      <c r="CB75" s="158" t="n">
        <v>0</v>
      </c>
      <c r="CC75" s="158" t="n">
        <v>0</v>
      </c>
      <c r="CD75" s="158" t="n">
        <v>0</v>
      </c>
      <c r="CE75" s="158" t="n">
        <v>0</v>
      </c>
      <c r="CF75" s="158" t="n">
        <v>0</v>
      </c>
      <c r="CG75" s="158" t="n">
        <v>0</v>
      </c>
      <c r="CH75" s="158" t="n">
        <v>0</v>
      </c>
      <c r="CI75" s="158" t="n">
        <v>0</v>
      </c>
      <c r="CJ75" s="158" t="n">
        <v>0</v>
      </c>
      <c r="CK75" s="158" t="n">
        <v>0</v>
      </c>
      <c r="CL75" s="158" t="n">
        <v>0</v>
      </c>
      <c r="CM75" s="158" t="n">
        <v>0</v>
      </c>
      <c r="CN75" s="158" t="n">
        <v>0</v>
      </c>
      <c r="CO75" s="158" t="n">
        <v>0</v>
      </c>
      <c r="CP75" s="158" t="n">
        <v>0</v>
      </c>
      <c r="CQ75" s="158" t="n">
        <v>0</v>
      </c>
      <c r="CR75" s="158" t="n">
        <v>0</v>
      </c>
      <c r="CS75" s="158" t="n">
        <v>0</v>
      </c>
      <c r="CT75" s="158" t="n">
        <v>0</v>
      </c>
      <c r="CU75" s="158" t="n">
        <v>0</v>
      </c>
      <c r="CV75" s="158" t="n">
        <v>0</v>
      </c>
      <c r="CW75" s="158" t="n">
        <v>0</v>
      </c>
      <c r="CX75" s="158" t="n">
        <v>0</v>
      </c>
      <c r="CY75" s="158" t="n">
        <v>0</v>
      </c>
      <c r="CZ75" s="158" t="n">
        <v>0</v>
      </c>
      <c r="DA75" s="158" t="n">
        <v>0</v>
      </c>
      <c r="DB75" s="158" t="n">
        <v>0</v>
      </c>
      <c r="DC75" s="158" t="n">
        <v>0</v>
      </c>
      <c r="DD75" s="158" t="n">
        <v>0</v>
      </c>
      <c r="DE75" s="158" t="n">
        <v>0</v>
      </c>
      <c r="DF75" s="158" t="n">
        <v>0</v>
      </c>
    </row>
    <row r="76" customFormat="false" ht="15" hidden="false" customHeight="true" outlineLevel="0" collapsed="false">
      <c r="A76" s="90" t="s">
        <v>363</v>
      </c>
      <c r="C76" s="104" t="n">
        <v>0</v>
      </c>
      <c r="D76" s="104" t="n">
        <v>0</v>
      </c>
      <c r="E76" s="104" t="n">
        <v>0</v>
      </c>
      <c r="F76" s="158" t="n">
        <v>0</v>
      </c>
      <c r="G76" s="158" t="n">
        <v>0</v>
      </c>
      <c r="H76" s="158" t="n">
        <v>0</v>
      </c>
      <c r="I76" s="158" t="n">
        <v>0</v>
      </c>
      <c r="J76" s="158" t="n">
        <v>0</v>
      </c>
      <c r="K76" s="158" t="n">
        <v>0</v>
      </c>
      <c r="L76" s="158" t="n">
        <v>0</v>
      </c>
      <c r="M76" s="158" t="n">
        <v>0</v>
      </c>
      <c r="N76" s="158" t="n">
        <v>0</v>
      </c>
      <c r="O76" s="158" t="n">
        <v>0</v>
      </c>
      <c r="P76" s="158" t="n">
        <v>0</v>
      </c>
      <c r="Q76" s="158" t="n">
        <v>0</v>
      </c>
      <c r="R76" s="158" t="n">
        <v>0</v>
      </c>
      <c r="S76" s="158" t="n">
        <v>0</v>
      </c>
      <c r="T76" s="158" t="n">
        <v>0</v>
      </c>
      <c r="U76" s="158" t="n">
        <v>0</v>
      </c>
      <c r="V76" s="158" t="n">
        <v>0</v>
      </c>
      <c r="W76" s="158" t="n">
        <v>0</v>
      </c>
      <c r="X76" s="158" t="n">
        <v>0</v>
      </c>
      <c r="Y76" s="158" t="n">
        <v>0</v>
      </c>
      <c r="Z76" s="158" t="n">
        <v>0</v>
      </c>
      <c r="AA76" s="158" t="n">
        <v>0</v>
      </c>
      <c r="AB76" s="158" t="n">
        <v>0</v>
      </c>
      <c r="AC76" s="158" t="n">
        <v>0</v>
      </c>
      <c r="AD76" s="158" t="n">
        <v>0</v>
      </c>
      <c r="AE76" s="158" t="n">
        <v>0</v>
      </c>
      <c r="AF76" s="158" t="n">
        <v>0</v>
      </c>
      <c r="AG76" s="158" t="n">
        <v>0</v>
      </c>
      <c r="AH76" s="158" t="n">
        <v>0</v>
      </c>
      <c r="AI76" s="158" t="n">
        <v>0</v>
      </c>
      <c r="AJ76" s="158" t="n">
        <v>0</v>
      </c>
      <c r="AK76" s="158" t="n">
        <v>0</v>
      </c>
      <c r="AL76" s="158" t="n">
        <v>0</v>
      </c>
      <c r="AM76" s="158" t="n">
        <v>0</v>
      </c>
      <c r="AN76" s="158" t="n">
        <v>0</v>
      </c>
      <c r="AO76" s="158" t="n">
        <v>0</v>
      </c>
      <c r="AP76" s="158" t="n">
        <v>0</v>
      </c>
      <c r="AQ76" s="158" t="n">
        <v>0</v>
      </c>
      <c r="AR76" s="158" t="n">
        <v>0</v>
      </c>
      <c r="AS76" s="158" t="n">
        <v>0</v>
      </c>
      <c r="AT76" s="158" t="n">
        <v>0</v>
      </c>
      <c r="AU76" s="158" t="n">
        <v>0</v>
      </c>
      <c r="AV76" s="158" t="n">
        <v>0</v>
      </c>
      <c r="AW76" s="158" t="n">
        <v>0</v>
      </c>
      <c r="AX76" s="158" t="n">
        <v>0</v>
      </c>
      <c r="AY76" s="158" t="n">
        <v>0</v>
      </c>
      <c r="AZ76" s="158" t="n">
        <v>0</v>
      </c>
      <c r="BA76" s="158" t="n">
        <v>0</v>
      </c>
      <c r="BB76" s="158" t="n">
        <v>0</v>
      </c>
      <c r="BC76" s="158" t="n">
        <v>0</v>
      </c>
      <c r="BD76" s="158" t="n">
        <v>0</v>
      </c>
      <c r="BE76" s="158" t="n">
        <v>0</v>
      </c>
      <c r="BF76" s="158" t="n">
        <v>0</v>
      </c>
      <c r="BG76" s="158" t="n">
        <v>0</v>
      </c>
      <c r="BH76" s="158" t="n">
        <v>0</v>
      </c>
      <c r="BI76" s="158" t="n">
        <v>0</v>
      </c>
      <c r="BJ76" s="158" t="n">
        <v>0</v>
      </c>
      <c r="BK76" s="158" t="n">
        <v>0</v>
      </c>
      <c r="BL76" s="158" t="n">
        <v>0</v>
      </c>
      <c r="BM76" s="158" t="n">
        <v>0</v>
      </c>
      <c r="BN76" s="158" t="n">
        <v>0</v>
      </c>
      <c r="BO76" s="158" t="n">
        <v>0</v>
      </c>
      <c r="BP76" s="158" t="n">
        <v>0</v>
      </c>
      <c r="BQ76" s="158" t="n">
        <v>0</v>
      </c>
      <c r="BR76" s="158" t="n">
        <v>0</v>
      </c>
      <c r="BS76" s="158" t="n">
        <v>0</v>
      </c>
      <c r="BT76" s="158" t="n">
        <v>0</v>
      </c>
      <c r="BU76" s="158" t="n">
        <v>0</v>
      </c>
      <c r="BV76" s="158" t="n">
        <v>0</v>
      </c>
      <c r="BW76" s="158" t="n">
        <v>0</v>
      </c>
      <c r="BX76" s="158" t="n">
        <v>0</v>
      </c>
      <c r="BY76" s="158" t="n">
        <v>0</v>
      </c>
      <c r="BZ76" s="158" t="n">
        <v>0</v>
      </c>
      <c r="CA76" s="158" t="n">
        <v>0</v>
      </c>
      <c r="CB76" s="158" t="n">
        <v>0</v>
      </c>
      <c r="CC76" s="158" t="n">
        <v>0</v>
      </c>
      <c r="CD76" s="158" t="n">
        <v>0</v>
      </c>
      <c r="CE76" s="158" t="n">
        <v>0</v>
      </c>
      <c r="CF76" s="158" t="n">
        <v>0</v>
      </c>
      <c r="CG76" s="158" t="n">
        <v>0</v>
      </c>
      <c r="CH76" s="158" t="n">
        <v>0</v>
      </c>
      <c r="CI76" s="158" t="n">
        <v>0</v>
      </c>
      <c r="CJ76" s="158" t="n">
        <v>0</v>
      </c>
      <c r="CK76" s="158" t="n">
        <v>0</v>
      </c>
      <c r="CL76" s="158" t="n">
        <v>0</v>
      </c>
      <c r="CM76" s="158" t="n">
        <v>0</v>
      </c>
      <c r="CN76" s="158" t="n">
        <v>0</v>
      </c>
      <c r="CO76" s="158" t="n">
        <v>0</v>
      </c>
      <c r="CP76" s="158" t="n">
        <v>0</v>
      </c>
      <c r="CQ76" s="158" t="n">
        <v>0</v>
      </c>
      <c r="CR76" s="158" t="n">
        <v>0</v>
      </c>
      <c r="CS76" s="158" t="n">
        <v>0</v>
      </c>
      <c r="CT76" s="158" t="n">
        <v>0</v>
      </c>
      <c r="CU76" s="158" t="n">
        <v>0</v>
      </c>
      <c r="CV76" s="158" t="n">
        <v>0</v>
      </c>
      <c r="CW76" s="158" t="n">
        <v>0</v>
      </c>
      <c r="CX76" s="158" t="n">
        <v>0</v>
      </c>
      <c r="CY76" s="158" t="n">
        <v>0</v>
      </c>
      <c r="CZ76" s="158" t="n">
        <v>0</v>
      </c>
      <c r="DA76" s="158" t="n">
        <v>0</v>
      </c>
      <c r="DB76" s="158" t="n">
        <v>0</v>
      </c>
      <c r="DC76" s="158" t="n">
        <v>0</v>
      </c>
      <c r="DD76" s="158" t="n">
        <v>0</v>
      </c>
      <c r="DE76" s="158" t="n">
        <v>0</v>
      </c>
      <c r="DF76" s="158" t="n">
        <v>0</v>
      </c>
    </row>
    <row r="77" customFormat="false" ht="15" hidden="false" customHeight="true" outlineLevel="0" collapsed="false">
      <c r="A77" s="90" t="s">
        <v>114</v>
      </c>
      <c r="C77" s="104" t="n">
        <v>0</v>
      </c>
      <c r="D77" s="104" t="n">
        <v>0</v>
      </c>
      <c r="E77" s="104" t="n">
        <v>0</v>
      </c>
      <c r="F77" s="158" t="n">
        <v>0</v>
      </c>
      <c r="G77" s="158" t="n">
        <v>0</v>
      </c>
      <c r="H77" s="158" t="n">
        <v>0</v>
      </c>
      <c r="I77" s="158" t="n">
        <v>0</v>
      </c>
      <c r="J77" s="158" t="n">
        <v>0</v>
      </c>
      <c r="K77" s="158" t="n">
        <v>0</v>
      </c>
      <c r="L77" s="158" t="n">
        <v>0</v>
      </c>
      <c r="M77" s="158" t="n">
        <v>0</v>
      </c>
      <c r="N77" s="158" t="n">
        <v>0</v>
      </c>
      <c r="O77" s="158" t="n">
        <v>0</v>
      </c>
      <c r="P77" s="158" t="n">
        <v>0</v>
      </c>
      <c r="Q77" s="158" t="n">
        <v>0</v>
      </c>
      <c r="R77" s="158" t="n">
        <v>0</v>
      </c>
      <c r="S77" s="158" t="n">
        <v>0</v>
      </c>
      <c r="T77" s="158" t="n">
        <v>0</v>
      </c>
      <c r="U77" s="158" t="n">
        <v>0</v>
      </c>
      <c r="V77" s="158" t="n">
        <v>0</v>
      </c>
      <c r="W77" s="158" t="n">
        <v>0</v>
      </c>
      <c r="X77" s="158" t="n">
        <v>0</v>
      </c>
      <c r="Y77" s="158" t="n">
        <v>0</v>
      </c>
      <c r="Z77" s="158" t="n">
        <v>0</v>
      </c>
      <c r="AA77" s="158" t="n">
        <v>0</v>
      </c>
      <c r="AB77" s="158" t="n">
        <v>0</v>
      </c>
      <c r="AC77" s="158" t="n">
        <v>0</v>
      </c>
      <c r="AD77" s="158" t="n">
        <v>0</v>
      </c>
      <c r="AE77" s="158" t="n">
        <v>0</v>
      </c>
      <c r="AF77" s="158" t="n">
        <v>0</v>
      </c>
      <c r="AG77" s="158" t="n">
        <v>0</v>
      </c>
      <c r="AH77" s="158" t="n">
        <v>0</v>
      </c>
      <c r="AI77" s="158" t="n">
        <v>0</v>
      </c>
      <c r="AJ77" s="158" t="n">
        <v>0</v>
      </c>
      <c r="AK77" s="158" t="n">
        <v>0</v>
      </c>
      <c r="AL77" s="158" t="n">
        <v>0</v>
      </c>
      <c r="AM77" s="158" t="n">
        <v>0</v>
      </c>
      <c r="AN77" s="158" t="n">
        <v>0</v>
      </c>
      <c r="AO77" s="158" t="n">
        <v>0</v>
      </c>
      <c r="AP77" s="158" t="n">
        <v>0</v>
      </c>
      <c r="AQ77" s="158" t="n">
        <v>0</v>
      </c>
      <c r="AR77" s="158" t="n">
        <v>0</v>
      </c>
      <c r="AS77" s="158" t="n">
        <v>0</v>
      </c>
      <c r="AT77" s="158" t="n">
        <v>0</v>
      </c>
      <c r="AU77" s="158" t="n">
        <v>81683</v>
      </c>
      <c r="AV77" s="158" t="n">
        <v>0</v>
      </c>
      <c r="AW77" s="158" t="n">
        <v>0</v>
      </c>
      <c r="AX77" s="158" t="n">
        <v>81682</v>
      </c>
      <c r="AY77" s="158" t="n">
        <v>0</v>
      </c>
      <c r="AZ77" s="158" t="n">
        <v>0</v>
      </c>
      <c r="BA77" s="158" t="n">
        <v>81682</v>
      </c>
      <c r="BB77" s="158" t="n">
        <v>0</v>
      </c>
      <c r="BC77" s="158" t="n">
        <v>0</v>
      </c>
      <c r="BD77" s="158" t="n">
        <v>81682</v>
      </c>
      <c r="BE77" s="158" t="n">
        <v>0</v>
      </c>
      <c r="BF77" s="158" t="n">
        <v>0</v>
      </c>
      <c r="BG77" s="158" t="n">
        <v>59178</v>
      </c>
      <c r="BH77" s="158" t="n">
        <v>0</v>
      </c>
      <c r="BI77" s="158" t="n">
        <v>0</v>
      </c>
      <c r="BJ77" s="158" t="n">
        <v>59176</v>
      </c>
      <c r="BK77" s="158" t="n">
        <v>0</v>
      </c>
      <c r="BL77" s="158" t="n">
        <v>0</v>
      </c>
      <c r="BM77" s="158" t="n">
        <v>59176</v>
      </c>
      <c r="BN77" s="158" t="n">
        <v>0</v>
      </c>
      <c r="BO77" s="158" t="n">
        <v>0</v>
      </c>
      <c r="BP77" s="158" t="n">
        <v>59176</v>
      </c>
      <c r="BQ77" s="158" t="n">
        <v>0</v>
      </c>
      <c r="BR77" s="158" t="n">
        <v>0</v>
      </c>
      <c r="BS77" s="158" t="n">
        <v>67763</v>
      </c>
      <c r="BT77" s="158" t="n">
        <v>0</v>
      </c>
      <c r="BU77" s="158" t="n">
        <v>0</v>
      </c>
      <c r="BV77" s="158" t="n">
        <v>67762</v>
      </c>
      <c r="BW77" s="158" t="n">
        <v>0</v>
      </c>
      <c r="BX77" s="158" t="n">
        <v>0</v>
      </c>
      <c r="BY77" s="158" t="n">
        <v>67762</v>
      </c>
      <c r="BZ77" s="158" t="n">
        <v>0</v>
      </c>
      <c r="CA77" s="158" t="n">
        <v>0</v>
      </c>
      <c r="CB77" s="158" t="n">
        <v>67762</v>
      </c>
      <c r="CC77" s="158" t="n">
        <v>0</v>
      </c>
      <c r="CD77" s="158" t="n">
        <v>0</v>
      </c>
      <c r="CE77" s="158" t="n">
        <v>76499</v>
      </c>
      <c r="CF77" s="158" t="n">
        <v>0</v>
      </c>
      <c r="CG77" s="158" t="n">
        <v>0</v>
      </c>
      <c r="CH77" s="158" t="n">
        <v>76499</v>
      </c>
      <c r="CI77" s="158" t="n">
        <v>0</v>
      </c>
      <c r="CJ77" s="158" t="n">
        <v>0</v>
      </c>
      <c r="CK77" s="158" t="n">
        <v>76499</v>
      </c>
      <c r="CL77" s="158" t="n">
        <v>76499</v>
      </c>
      <c r="CM77" s="158" t="n">
        <v>76499</v>
      </c>
      <c r="CN77" s="158" t="n">
        <v>76499</v>
      </c>
      <c r="CO77" s="158" t="n">
        <v>76499</v>
      </c>
      <c r="CP77" s="158" t="n">
        <v>76499</v>
      </c>
      <c r="CQ77" s="158" t="n">
        <v>76499</v>
      </c>
      <c r="CR77" s="158" t="n">
        <v>76499</v>
      </c>
      <c r="CS77" s="158" t="n">
        <v>76499</v>
      </c>
      <c r="CT77" s="158" t="n">
        <v>76499</v>
      </c>
      <c r="CU77" s="158" t="n">
        <v>76499</v>
      </c>
      <c r="CV77" s="158" t="n">
        <v>76499</v>
      </c>
      <c r="CW77" s="158" t="n">
        <v>76499</v>
      </c>
      <c r="CX77" s="158" t="n">
        <v>76499</v>
      </c>
      <c r="CY77" s="158" t="n">
        <v>76499</v>
      </c>
      <c r="CZ77" s="158" t="n">
        <v>76499</v>
      </c>
      <c r="DA77" s="158" t="n">
        <v>76499</v>
      </c>
      <c r="DB77" s="158" t="n">
        <v>76499</v>
      </c>
      <c r="DC77" s="158" t="n">
        <v>76499</v>
      </c>
      <c r="DD77" s="158" t="n">
        <v>76499</v>
      </c>
      <c r="DE77" s="158" t="n">
        <v>76499</v>
      </c>
      <c r="DF77" s="158" t="n">
        <v>76499</v>
      </c>
    </row>
    <row r="78" customFormat="false" ht="15" hidden="false" customHeight="true" outlineLevel="0" collapsed="false">
      <c r="A78" s="90" t="s">
        <v>115</v>
      </c>
      <c r="C78" s="104" t="n">
        <v>0</v>
      </c>
      <c r="D78" s="104" t="n">
        <v>0</v>
      </c>
      <c r="E78" s="104" t="n">
        <v>0</v>
      </c>
      <c r="F78" s="158" t="n">
        <v>0</v>
      </c>
      <c r="G78" s="158" t="n">
        <v>0</v>
      </c>
      <c r="H78" s="158" t="n">
        <v>0</v>
      </c>
      <c r="I78" s="158" t="n">
        <v>0</v>
      </c>
      <c r="J78" s="158" t="n">
        <v>0</v>
      </c>
      <c r="K78" s="158" t="n">
        <v>0</v>
      </c>
      <c r="L78" s="158" t="n">
        <v>0</v>
      </c>
      <c r="M78" s="158" t="n">
        <v>0</v>
      </c>
      <c r="N78" s="158" t="n">
        <v>0</v>
      </c>
      <c r="O78" s="158" t="n">
        <v>0</v>
      </c>
      <c r="P78" s="158" t="n">
        <v>0</v>
      </c>
      <c r="Q78" s="158" t="n">
        <v>0</v>
      </c>
      <c r="R78" s="158" t="n">
        <v>0</v>
      </c>
      <c r="S78" s="158" t="n">
        <v>0</v>
      </c>
      <c r="T78" s="158" t="n">
        <v>0</v>
      </c>
      <c r="U78" s="158" t="n">
        <v>0</v>
      </c>
      <c r="V78" s="158" t="n">
        <v>0</v>
      </c>
      <c r="W78" s="158" t="n">
        <v>0</v>
      </c>
      <c r="X78" s="158" t="n">
        <v>0</v>
      </c>
      <c r="Y78" s="158" t="n">
        <v>0</v>
      </c>
      <c r="Z78" s="158" t="n">
        <v>0</v>
      </c>
      <c r="AA78" s="158" t="n">
        <v>0</v>
      </c>
      <c r="AB78" s="158" t="n">
        <v>0</v>
      </c>
      <c r="AC78" s="158" t="n">
        <v>0</v>
      </c>
      <c r="AD78" s="158" t="n">
        <v>0</v>
      </c>
      <c r="AE78" s="158" t="n">
        <v>0</v>
      </c>
      <c r="AF78" s="158" t="n">
        <v>0</v>
      </c>
      <c r="AG78" s="158" t="n">
        <v>0</v>
      </c>
      <c r="AH78" s="158" t="n">
        <v>0</v>
      </c>
      <c r="AI78" s="158" t="n">
        <v>0</v>
      </c>
      <c r="AJ78" s="158" t="n">
        <v>0</v>
      </c>
      <c r="AK78" s="158" t="n">
        <v>0</v>
      </c>
      <c r="AL78" s="158" t="n">
        <v>0</v>
      </c>
      <c r="AM78" s="158" t="n">
        <v>0</v>
      </c>
      <c r="AN78" s="158" t="n">
        <v>0</v>
      </c>
      <c r="AO78" s="158" t="n">
        <v>0</v>
      </c>
      <c r="AP78" s="158" t="n">
        <v>0</v>
      </c>
      <c r="AQ78" s="158" t="n">
        <v>0</v>
      </c>
      <c r="AR78" s="158" t="n">
        <v>0</v>
      </c>
      <c r="AS78" s="158" t="n">
        <v>0</v>
      </c>
      <c r="AT78" s="158" t="n">
        <v>0</v>
      </c>
      <c r="AU78" s="158" t="n">
        <v>0</v>
      </c>
      <c r="AV78" s="158" t="n">
        <v>0</v>
      </c>
      <c r="AW78" s="158" t="n">
        <v>0</v>
      </c>
      <c r="AX78" s="158" t="n">
        <v>0</v>
      </c>
      <c r="AY78" s="158" t="n">
        <v>0</v>
      </c>
      <c r="AZ78" s="158" t="n">
        <v>0</v>
      </c>
      <c r="BA78" s="158" t="n">
        <v>0</v>
      </c>
      <c r="BB78" s="158" t="n">
        <v>0</v>
      </c>
      <c r="BC78" s="158" t="n">
        <v>0</v>
      </c>
      <c r="BD78" s="158" t="n">
        <v>851839</v>
      </c>
      <c r="BE78" s="158" t="n">
        <v>0</v>
      </c>
      <c r="BF78" s="158" t="n">
        <v>0</v>
      </c>
      <c r="BG78" s="158" t="n">
        <v>71700</v>
      </c>
      <c r="BH78" s="158" t="n">
        <v>0</v>
      </c>
      <c r="BI78" s="158" t="n">
        <v>0</v>
      </c>
      <c r="BJ78" s="158" t="n">
        <v>71700</v>
      </c>
      <c r="BK78" s="158" t="n">
        <v>0</v>
      </c>
      <c r="BL78" s="158" t="n">
        <v>0</v>
      </c>
      <c r="BM78" s="158" t="n">
        <v>71700</v>
      </c>
      <c r="BN78" s="158" t="n">
        <v>0</v>
      </c>
      <c r="BO78" s="158" t="n">
        <v>0</v>
      </c>
      <c r="BP78" s="158" t="n">
        <v>71700</v>
      </c>
      <c r="BQ78" s="158" t="n">
        <v>0</v>
      </c>
      <c r="BR78" s="158" t="n">
        <v>0</v>
      </c>
      <c r="BS78" s="158" t="n">
        <v>74643</v>
      </c>
      <c r="BT78" s="158" t="n">
        <v>0</v>
      </c>
      <c r="BU78" s="158" t="n">
        <v>0</v>
      </c>
      <c r="BV78" s="158" t="n">
        <v>74640</v>
      </c>
      <c r="BW78" s="158" t="n">
        <v>0</v>
      </c>
      <c r="BX78" s="158" t="n">
        <v>0</v>
      </c>
      <c r="BY78" s="158" t="n">
        <v>74640</v>
      </c>
      <c r="BZ78" s="158" t="n">
        <v>0</v>
      </c>
      <c r="CA78" s="158" t="n">
        <v>0</v>
      </c>
      <c r="CB78" s="158" t="n">
        <v>74640</v>
      </c>
      <c r="CC78" s="158" t="n">
        <v>0</v>
      </c>
      <c r="CD78" s="158" t="n">
        <v>0</v>
      </c>
      <c r="CE78" s="158" t="n">
        <v>81363</v>
      </c>
      <c r="CF78" s="158" t="n">
        <v>0</v>
      </c>
      <c r="CG78" s="158" t="n">
        <v>0</v>
      </c>
      <c r="CH78" s="158" t="n">
        <v>81362</v>
      </c>
      <c r="CI78" s="158" t="n">
        <v>0</v>
      </c>
      <c r="CJ78" s="158" t="n">
        <v>0</v>
      </c>
      <c r="CK78" s="158" t="n">
        <v>81362</v>
      </c>
      <c r="CL78" s="158" t="n">
        <v>81362</v>
      </c>
      <c r="CM78" s="158" t="n">
        <v>81362</v>
      </c>
      <c r="CN78" s="158" t="n">
        <v>81362</v>
      </c>
      <c r="CO78" s="158" t="n">
        <v>81362</v>
      </c>
      <c r="CP78" s="158" t="n">
        <v>81362</v>
      </c>
      <c r="CQ78" s="158" t="n">
        <v>81362</v>
      </c>
      <c r="CR78" s="158" t="n">
        <v>81362</v>
      </c>
      <c r="CS78" s="158" t="n">
        <v>81362</v>
      </c>
      <c r="CT78" s="158" t="n">
        <v>81362</v>
      </c>
      <c r="CU78" s="158" t="n">
        <v>81362</v>
      </c>
      <c r="CV78" s="158" t="n">
        <v>81362</v>
      </c>
      <c r="CW78" s="158" t="n">
        <v>81362</v>
      </c>
      <c r="CX78" s="158" t="n">
        <v>81362</v>
      </c>
      <c r="CY78" s="158" t="n">
        <v>81362</v>
      </c>
      <c r="CZ78" s="158" t="n">
        <v>81362</v>
      </c>
      <c r="DA78" s="158" t="n">
        <v>81362</v>
      </c>
      <c r="DB78" s="158" t="n">
        <v>81362</v>
      </c>
      <c r="DC78" s="158" t="n">
        <v>81362</v>
      </c>
      <c r="DD78" s="158" t="n">
        <v>81362</v>
      </c>
      <c r="DE78" s="158" t="n">
        <v>81362</v>
      </c>
      <c r="DF78" s="158" t="n">
        <v>81362</v>
      </c>
    </row>
    <row r="79" customFormat="false" ht="15" hidden="false" customHeight="true" outlineLevel="0" collapsed="false">
      <c r="A79" s="90" t="s">
        <v>116</v>
      </c>
      <c r="C79" s="104" t="n">
        <v>0</v>
      </c>
      <c r="D79" s="104" t="n">
        <v>0</v>
      </c>
      <c r="E79" s="104" t="n">
        <v>0</v>
      </c>
      <c r="F79" s="158" t="n">
        <v>0</v>
      </c>
      <c r="G79" s="158" t="n">
        <v>0</v>
      </c>
      <c r="H79" s="158" t="n">
        <v>0</v>
      </c>
      <c r="I79" s="158" t="n">
        <v>0</v>
      </c>
      <c r="J79" s="158" t="n">
        <v>0</v>
      </c>
      <c r="K79" s="158" t="n">
        <v>0</v>
      </c>
      <c r="L79" s="158" t="n">
        <v>0</v>
      </c>
      <c r="M79" s="158" t="n">
        <v>0</v>
      </c>
      <c r="N79" s="158" t="n">
        <v>0</v>
      </c>
      <c r="O79" s="158" t="n">
        <v>0</v>
      </c>
      <c r="P79" s="158" t="n">
        <v>0</v>
      </c>
      <c r="Q79" s="158" t="n">
        <v>0</v>
      </c>
      <c r="R79" s="158" t="n">
        <v>0</v>
      </c>
      <c r="S79" s="158" t="n">
        <v>0</v>
      </c>
      <c r="T79" s="158" t="n">
        <v>0</v>
      </c>
      <c r="U79" s="158" t="n">
        <v>0</v>
      </c>
      <c r="V79" s="158" t="n">
        <v>0</v>
      </c>
      <c r="W79" s="158" t="n">
        <v>0</v>
      </c>
      <c r="X79" s="158" t="n">
        <v>0</v>
      </c>
      <c r="Y79" s="158" t="n">
        <v>0</v>
      </c>
      <c r="Z79" s="158" t="n">
        <v>0</v>
      </c>
      <c r="AA79" s="158" t="n">
        <v>0</v>
      </c>
      <c r="AB79" s="158" t="n">
        <v>0</v>
      </c>
      <c r="AC79" s="158" t="n">
        <v>0</v>
      </c>
      <c r="AD79" s="158" t="n">
        <v>0</v>
      </c>
      <c r="AE79" s="158" t="n">
        <v>0</v>
      </c>
      <c r="AF79" s="158" t="n">
        <v>0</v>
      </c>
      <c r="AG79" s="158" t="n">
        <v>0</v>
      </c>
      <c r="AH79" s="158" t="n">
        <v>0</v>
      </c>
      <c r="AI79" s="158" t="n">
        <v>0</v>
      </c>
      <c r="AJ79" s="158" t="n">
        <v>0</v>
      </c>
      <c r="AK79" s="158" t="n">
        <v>0</v>
      </c>
      <c r="AL79" s="158" t="n">
        <v>0</v>
      </c>
      <c r="AM79" s="158" t="n">
        <v>0</v>
      </c>
      <c r="AN79" s="158" t="n">
        <v>0</v>
      </c>
      <c r="AO79" s="158" t="n">
        <v>0</v>
      </c>
      <c r="AP79" s="158" t="n">
        <v>0</v>
      </c>
      <c r="AQ79" s="158" t="n">
        <v>0</v>
      </c>
      <c r="AR79" s="158" t="n">
        <v>0</v>
      </c>
      <c r="AS79" s="158" t="n">
        <v>0</v>
      </c>
      <c r="AT79" s="158" t="n">
        <v>0</v>
      </c>
      <c r="AU79" s="158" t="n">
        <v>0</v>
      </c>
      <c r="AV79" s="158" t="n">
        <v>0</v>
      </c>
      <c r="AW79" s="158" t="n">
        <v>0</v>
      </c>
      <c r="AX79" s="158" t="n">
        <v>0</v>
      </c>
      <c r="AY79" s="158" t="n">
        <v>0</v>
      </c>
      <c r="AZ79" s="158" t="n">
        <v>0</v>
      </c>
      <c r="BA79" s="158" t="n">
        <v>0</v>
      </c>
      <c r="BB79" s="158" t="n">
        <v>0</v>
      </c>
      <c r="BC79" s="158" t="n">
        <v>0</v>
      </c>
      <c r="BD79" s="158" t="n">
        <v>0</v>
      </c>
      <c r="BE79" s="158" t="n">
        <v>0</v>
      </c>
      <c r="BF79" s="158" t="n">
        <v>0</v>
      </c>
      <c r="BG79" s="158" t="n">
        <v>0</v>
      </c>
      <c r="BH79" s="158" t="n">
        <v>0</v>
      </c>
      <c r="BI79" s="158" t="n">
        <v>0</v>
      </c>
      <c r="BJ79" s="158" t="n">
        <v>0</v>
      </c>
      <c r="BK79" s="158" t="n">
        <v>0</v>
      </c>
      <c r="BL79" s="158" t="n">
        <v>0</v>
      </c>
      <c r="BM79" s="158" t="n">
        <v>0</v>
      </c>
      <c r="BN79" s="158" t="n">
        <v>0</v>
      </c>
      <c r="BO79" s="158" t="n">
        <v>0</v>
      </c>
      <c r="BP79" s="158" t="n">
        <v>0</v>
      </c>
      <c r="BQ79" s="158" t="n">
        <v>0</v>
      </c>
      <c r="BR79" s="158" t="n">
        <v>0</v>
      </c>
      <c r="BS79" s="158" t="n">
        <v>0</v>
      </c>
      <c r="BT79" s="158" t="n">
        <v>0</v>
      </c>
      <c r="BU79" s="158" t="n">
        <v>0</v>
      </c>
      <c r="BV79" s="158" t="n">
        <v>0</v>
      </c>
      <c r="BW79" s="158" t="n">
        <v>0</v>
      </c>
      <c r="BX79" s="158" t="n">
        <v>0</v>
      </c>
      <c r="BY79" s="158" t="n">
        <v>0</v>
      </c>
      <c r="BZ79" s="158" t="n">
        <v>0</v>
      </c>
      <c r="CA79" s="158" t="n">
        <v>0</v>
      </c>
      <c r="CB79" s="158" t="n">
        <v>73156</v>
      </c>
      <c r="CC79" s="158" t="n">
        <v>0</v>
      </c>
      <c r="CD79" s="158" t="n">
        <v>0</v>
      </c>
      <c r="CE79" s="158" t="n">
        <v>73155</v>
      </c>
      <c r="CF79" s="158" t="n">
        <v>0</v>
      </c>
      <c r="CG79" s="158" t="n">
        <v>0</v>
      </c>
      <c r="CH79" s="158" t="n">
        <v>73155</v>
      </c>
      <c r="CI79" s="158" t="n">
        <v>0</v>
      </c>
      <c r="CJ79" s="158" t="n">
        <v>0</v>
      </c>
      <c r="CK79" s="158" t="n">
        <v>73155</v>
      </c>
      <c r="CL79" s="158" t="n">
        <v>73155</v>
      </c>
      <c r="CM79" s="158" t="n">
        <v>73155</v>
      </c>
      <c r="CN79" s="158" t="n">
        <v>73155</v>
      </c>
      <c r="CO79" s="158" t="n">
        <v>73155</v>
      </c>
      <c r="CP79" s="158" t="n">
        <v>73155</v>
      </c>
      <c r="CQ79" s="158" t="n">
        <v>73155</v>
      </c>
      <c r="CR79" s="158" t="n">
        <v>73155</v>
      </c>
      <c r="CS79" s="158" t="n">
        <v>73155</v>
      </c>
      <c r="CT79" s="158" t="n">
        <v>73155</v>
      </c>
      <c r="CU79" s="158" t="n">
        <v>73155</v>
      </c>
      <c r="CV79" s="158" t="n">
        <v>73155</v>
      </c>
      <c r="CW79" s="158" t="n">
        <v>73155</v>
      </c>
      <c r="CX79" s="158" t="n">
        <v>73155</v>
      </c>
      <c r="CY79" s="158" t="n">
        <v>73155</v>
      </c>
      <c r="CZ79" s="158" t="n">
        <v>73155</v>
      </c>
      <c r="DA79" s="158" t="n">
        <v>73155</v>
      </c>
      <c r="DB79" s="158" t="n">
        <v>73155</v>
      </c>
      <c r="DC79" s="158" t="n">
        <v>73155</v>
      </c>
      <c r="DD79" s="158" t="n">
        <v>73155</v>
      </c>
      <c r="DE79" s="158" t="n">
        <v>73155</v>
      </c>
      <c r="DF79" s="158" t="n">
        <v>73155</v>
      </c>
    </row>
    <row r="80" customFormat="false" ht="15" hidden="false" customHeight="true" outlineLevel="0" collapsed="false">
      <c r="A80" s="90" t="s">
        <v>364</v>
      </c>
      <c r="C80" s="104" t="n">
        <v>0</v>
      </c>
      <c r="D80" s="104" t="n">
        <v>0</v>
      </c>
      <c r="E80" s="104" t="n">
        <v>0</v>
      </c>
      <c r="F80" s="158" t="n">
        <v>0</v>
      </c>
      <c r="G80" s="158" t="n">
        <v>0</v>
      </c>
      <c r="H80" s="158" t="n">
        <v>0</v>
      </c>
      <c r="I80" s="158" t="n">
        <v>0</v>
      </c>
      <c r="J80" s="158" t="n">
        <v>0</v>
      </c>
      <c r="K80" s="158" t="n">
        <v>0</v>
      </c>
      <c r="L80" s="158" t="n">
        <v>0</v>
      </c>
      <c r="M80" s="158" t="n">
        <v>0</v>
      </c>
      <c r="N80" s="158" t="n">
        <v>0</v>
      </c>
      <c r="O80" s="158" t="n">
        <v>0</v>
      </c>
      <c r="P80" s="158" t="n">
        <v>0</v>
      </c>
      <c r="Q80" s="158" t="n">
        <v>0</v>
      </c>
      <c r="R80" s="158" t="n">
        <v>0</v>
      </c>
      <c r="S80" s="158" t="n">
        <v>0</v>
      </c>
      <c r="T80" s="158" t="n">
        <v>0</v>
      </c>
      <c r="U80" s="158" t="n">
        <v>0</v>
      </c>
      <c r="V80" s="158" t="n">
        <v>0</v>
      </c>
      <c r="W80" s="158" t="n">
        <v>0</v>
      </c>
      <c r="X80" s="158" t="n">
        <v>0</v>
      </c>
      <c r="Y80" s="158" t="n">
        <v>0</v>
      </c>
      <c r="Z80" s="158" t="n">
        <v>0</v>
      </c>
      <c r="AA80" s="158" t="n">
        <v>0</v>
      </c>
      <c r="AB80" s="158" t="n">
        <v>0</v>
      </c>
      <c r="AC80" s="158" t="n">
        <v>0</v>
      </c>
      <c r="AD80" s="158" t="n">
        <v>0</v>
      </c>
      <c r="AE80" s="158" t="n">
        <v>0</v>
      </c>
      <c r="AF80" s="158" t="n">
        <v>0</v>
      </c>
      <c r="AG80" s="158" t="n">
        <v>0</v>
      </c>
      <c r="AH80" s="158" t="n">
        <v>0</v>
      </c>
      <c r="AI80" s="158" t="n">
        <v>0</v>
      </c>
      <c r="AJ80" s="158" t="n">
        <v>0</v>
      </c>
      <c r="AK80" s="158" t="n">
        <v>0</v>
      </c>
      <c r="AL80" s="158" t="n">
        <v>0</v>
      </c>
      <c r="AM80" s="158" t="n">
        <v>0</v>
      </c>
      <c r="AN80" s="158" t="n">
        <v>0</v>
      </c>
      <c r="AO80" s="158" t="n">
        <v>0</v>
      </c>
      <c r="AP80" s="158" t="n">
        <v>0</v>
      </c>
      <c r="AQ80" s="158" t="n">
        <v>0</v>
      </c>
      <c r="AR80" s="158" t="n">
        <v>0</v>
      </c>
      <c r="AS80" s="158" t="n">
        <v>0</v>
      </c>
      <c r="AT80" s="158" t="n">
        <v>0</v>
      </c>
      <c r="AU80" s="158" t="n">
        <v>0</v>
      </c>
      <c r="AV80" s="158" t="n">
        <v>0</v>
      </c>
      <c r="AW80" s="158" t="n">
        <v>0</v>
      </c>
      <c r="AX80" s="158" t="n">
        <v>0</v>
      </c>
      <c r="AY80" s="158" t="n">
        <v>0</v>
      </c>
      <c r="AZ80" s="158" t="n">
        <v>0</v>
      </c>
      <c r="BA80" s="158" t="n">
        <v>0</v>
      </c>
      <c r="BB80" s="158" t="n">
        <v>0</v>
      </c>
      <c r="BC80" s="158" t="n">
        <v>0</v>
      </c>
      <c r="BD80" s="158" t="n">
        <v>0</v>
      </c>
      <c r="BE80" s="158" t="n">
        <v>0</v>
      </c>
      <c r="BF80" s="158" t="n">
        <v>0</v>
      </c>
      <c r="BG80" s="158" t="n">
        <v>0</v>
      </c>
      <c r="BH80" s="158" t="n">
        <v>0</v>
      </c>
      <c r="BI80" s="158" t="n">
        <v>0</v>
      </c>
      <c r="BJ80" s="158" t="n">
        <v>0</v>
      </c>
      <c r="BK80" s="158" t="n">
        <v>0</v>
      </c>
      <c r="BL80" s="158" t="n">
        <v>0</v>
      </c>
      <c r="BM80" s="158" t="n">
        <v>0</v>
      </c>
      <c r="BN80" s="158" t="n">
        <v>0</v>
      </c>
      <c r="BO80" s="158" t="n">
        <v>0</v>
      </c>
      <c r="BP80" s="158" t="n">
        <v>0</v>
      </c>
      <c r="BQ80" s="158" t="n">
        <v>0</v>
      </c>
      <c r="BR80" s="158" t="n">
        <v>0</v>
      </c>
      <c r="BS80" s="158" t="n">
        <v>0</v>
      </c>
      <c r="BT80" s="158" t="n">
        <v>0</v>
      </c>
      <c r="BU80" s="158" t="n">
        <v>0</v>
      </c>
      <c r="BV80" s="158" t="n">
        <v>0</v>
      </c>
      <c r="BW80" s="158" t="n">
        <v>0</v>
      </c>
      <c r="BX80" s="158" t="n">
        <v>0</v>
      </c>
      <c r="BY80" s="158" t="n">
        <v>0</v>
      </c>
      <c r="BZ80" s="158" t="n">
        <v>0</v>
      </c>
      <c r="CA80" s="158" t="n">
        <v>0</v>
      </c>
      <c r="CB80" s="158" t="n">
        <v>0</v>
      </c>
      <c r="CC80" s="158" t="n">
        <v>0</v>
      </c>
      <c r="CD80" s="158" t="n">
        <v>0</v>
      </c>
      <c r="CE80" s="158" t="n">
        <v>0</v>
      </c>
      <c r="CF80" s="158" t="n">
        <v>0</v>
      </c>
      <c r="CG80" s="158" t="n">
        <v>0</v>
      </c>
      <c r="CH80" s="158" t="n">
        <v>0</v>
      </c>
      <c r="CI80" s="158" t="n">
        <v>0</v>
      </c>
      <c r="CJ80" s="158" t="n">
        <v>0</v>
      </c>
      <c r="CK80" s="158" t="n">
        <v>0</v>
      </c>
      <c r="CL80" s="158" t="n">
        <v>0</v>
      </c>
      <c r="CM80" s="158" t="n">
        <v>0</v>
      </c>
      <c r="CN80" s="158" t="n">
        <v>0</v>
      </c>
      <c r="CO80" s="158" t="n">
        <v>0</v>
      </c>
      <c r="CP80" s="158" t="n">
        <v>0</v>
      </c>
      <c r="CQ80" s="158" t="n">
        <v>0</v>
      </c>
      <c r="CR80" s="158" t="n">
        <v>0</v>
      </c>
      <c r="CS80" s="158" t="n">
        <v>0</v>
      </c>
      <c r="CT80" s="158" t="n">
        <v>0</v>
      </c>
      <c r="CU80" s="158" t="n">
        <v>0</v>
      </c>
      <c r="CV80" s="158" t="n">
        <v>0</v>
      </c>
      <c r="CW80" s="158" t="n">
        <v>0</v>
      </c>
      <c r="CX80" s="158" t="n">
        <v>0</v>
      </c>
      <c r="CY80" s="158" t="n">
        <v>0</v>
      </c>
      <c r="CZ80" s="158" t="n">
        <v>0</v>
      </c>
      <c r="DA80" s="158" t="n">
        <v>0</v>
      </c>
      <c r="DB80" s="158" t="n">
        <v>0</v>
      </c>
      <c r="DC80" s="158" t="n">
        <v>0</v>
      </c>
      <c r="DD80" s="158" t="n">
        <v>0</v>
      </c>
      <c r="DE80" s="158" t="n">
        <v>0</v>
      </c>
      <c r="DF80" s="158" t="n">
        <v>0</v>
      </c>
    </row>
    <row r="81" customFormat="false" ht="15" hidden="false" customHeight="true" outlineLevel="0" collapsed="false">
      <c r="A81" s="94" t="s">
        <v>121</v>
      </c>
      <c r="C81" s="162" t="n">
        <v>34114.58</v>
      </c>
      <c r="D81" s="162" t="n">
        <v>34114.58</v>
      </c>
      <c r="E81" s="162" t="n">
        <v>34114.58</v>
      </c>
      <c r="F81" s="164" t="n">
        <v>43614.58</v>
      </c>
      <c r="G81" s="164" t="n">
        <v>43614.58</v>
      </c>
      <c r="H81" s="164" t="n">
        <v>43614.58</v>
      </c>
      <c r="I81" s="164" t="n">
        <v>43614.58</v>
      </c>
      <c r="J81" s="164" t="n">
        <v>43614.58</v>
      </c>
      <c r="K81" s="164" t="n">
        <v>42781.25</v>
      </c>
      <c r="L81" s="164" t="n">
        <v>42781.25</v>
      </c>
      <c r="M81" s="164" t="n">
        <v>33406.25</v>
      </c>
      <c r="N81" s="164" t="n">
        <v>33406.25</v>
      </c>
      <c r="O81" s="164" t="n">
        <v>33406.25</v>
      </c>
      <c r="P81" s="164" t="n">
        <v>33406.25</v>
      </c>
      <c r="Q81" s="164" t="n">
        <v>33406.25</v>
      </c>
      <c r="R81" s="164" t="n">
        <v>33406.25</v>
      </c>
      <c r="S81" s="164" t="n">
        <v>33406.25</v>
      </c>
      <c r="T81" s="164" t="n">
        <v>33406.25</v>
      </c>
      <c r="U81" s="164" t="n">
        <v>9500</v>
      </c>
      <c r="V81" s="164" t="n">
        <v>9500</v>
      </c>
      <c r="W81" s="164" t="n">
        <v>9500</v>
      </c>
      <c r="X81" s="164" t="n">
        <v>9500</v>
      </c>
      <c r="Y81" s="164" t="n">
        <v>9500</v>
      </c>
      <c r="Z81" s="164" t="n">
        <v>66875</v>
      </c>
      <c r="AA81" s="164" t="n">
        <v>9500</v>
      </c>
      <c r="AB81" s="164" t="n">
        <v>9500</v>
      </c>
      <c r="AC81" s="164" t="n">
        <v>66875</v>
      </c>
      <c r="AD81" s="164" t="n">
        <v>9500</v>
      </c>
      <c r="AE81" s="164" t="n">
        <v>9500</v>
      </c>
      <c r="AF81" s="164" t="n">
        <v>66875</v>
      </c>
      <c r="AG81" s="164" t="n">
        <v>9500</v>
      </c>
      <c r="AH81" s="164" t="n">
        <v>9500</v>
      </c>
      <c r="AI81" s="164" t="n">
        <v>9500</v>
      </c>
      <c r="AJ81" s="164" t="n">
        <v>0</v>
      </c>
      <c r="AK81" s="164" t="n">
        <v>0</v>
      </c>
      <c r="AL81" s="164" t="n">
        <v>0</v>
      </c>
      <c r="AM81" s="164" t="n">
        <v>0</v>
      </c>
      <c r="AN81" s="164" t="n">
        <v>0</v>
      </c>
      <c r="AO81" s="164" t="n">
        <v>0</v>
      </c>
      <c r="AP81" s="164" t="n">
        <v>0</v>
      </c>
      <c r="AQ81" s="164" t="n">
        <v>0</v>
      </c>
      <c r="AR81" s="164" t="n">
        <v>0</v>
      </c>
      <c r="AS81" s="164" t="n">
        <v>0</v>
      </c>
      <c r="AT81" s="164" t="n">
        <v>0</v>
      </c>
      <c r="AU81" s="164" t="n">
        <v>81683</v>
      </c>
      <c r="AV81" s="164" t="n">
        <v>0</v>
      </c>
      <c r="AW81" s="164" t="n">
        <v>0</v>
      </c>
      <c r="AX81" s="164" t="n">
        <v>81682</v>
      </c>
      <c r="AY81" s="164" t="n">
        <v>0</v>
      </c>
      <c r="AZ81" s="164" t="n">
        <v>0</v>
      </c>
      <c r="BA81" s="164" t="n">
        <v>81682</v>
      </c>
      <c r="BB81" s="164" t="n">
        <v>0</v>
      </c>
      <c r="BC81" s="164" t="n">
        <v>0</v>
      </c>
      <c r="BD81" s="164" t="n">
        <v>933521</v>
      </c>
      <c r="BE81" s="164" t="n">
        <v>0</v>
      </c>
      <c r="BF81" s="164" t="n">
        <v>0</v>
      </c>
      <c r="BG81" s="164" t="n">
        <v>130878</v>
      </c>
      <c r="BH81" s="164" t="n">
        <v>0</v>
      </c>
      <c r="BI81" s="164" t="n">
        <v>0</v>
      </c>
      <c r="BJ81" s="164" t="n">
        <v>130876</v>
      </c>
      <c r="BK81" s="164" t="n">
        <v>0</v>
      </c>
      <c r="BL81" s="164" t="n">
        <v>0</v>
      </c>
      <c r="BM81" s="164" t="n">
        <v>130876</v>
      </c>
      <c r="BN81" s="164" t="n">
        <v>0</v>
      </c>
      <c r="BO81" s="164" t="n">
        <v>0</v>
      </c>
      <c r="BP81" s="164" t="n">
        <v>130876</v>
      </c>
      <c r="BQ81" s="164" t="n">
        <v>0</v>
      </c>
      <c r="BR81" s="164" t="n">
        <v>0</v>
      </c>
      <c r="BS81" s="164" t="n">
        <v>142406</v>
      </c>
      <c r="BT81" s="164" t="n">
        <v>0</v>
      </c>
      <c r="BU81" s="164" t="n">
        <v>0</v>
      </c>
      <c r="BV81" s="164" t="n">
        <v>142402</v>
      </c>
      <c r="BW81" s="164" t="n">
        <v>0</v>
      </c>
      <c r="BX81" s="164" t="n">
        <v>0</v>
      </c>
      <c r="BY81" s="164" t="n">
        <v>142402</v>
      </c>
      <c r="BZ81" s="164" t="n">
        <v>0</v>
      </c>
      <c r="CA81" s="164" t="n">
        <v>0</v>
      </c>
      <c r="CB81" s="164" t="n">
        <v>215558</v>
      </c>
      <c r="CC81" s="164" t="n">
        <v>0</v>
      </c>
      <c r="CD81" s="164" t="n">
        <v>0</v>
      </c>
      <c r="CE81" s="164" t="n">
        <v>231017</v>
      </c>
      <c r="CF81" s="164" t="n">
        <v>0</v>
      </c>
      <c r="CG81" s="164" t="n">
        <v>0</v>
      </c>
      <c r="CH81" s="164" t="n">
        <v>231016</v>
      </c>
      <c r="CI81" s="164" t="n">
        <v>0</v>
      </c>
      <c r="CJ81" s="164" t="n">
        <v>0</v>
      </c>
      <c r="CK81" s="164" t="n">
        <v>231016</v>
      </c>
      <c r="CL81" s="164" t="n">
        <v>231016</v>
      </c>
      <c r="CM81" s="164" t="n">
        <v>231016</v>
      </c>
      <c r="CN81" s="164" t="n">
        <v>231016</v>
      </c>
      <c r="CO81" s="164" t="n">
        <v>231016</v>
      </c>
      <c r="CP81" s="164" t="n">
        <v>231016</v>
      </c>
      <c r="CQ81" s="164" t="n">
        <v>231016</v>
      </c>
      <c r="CR81" s="164" t="n">
        <v>231016</v>
      </c>
      <c r="CS81" s="164" t="n">
        <v>231016</v>
      </c>
      <c r="CT81" s="164" t="n">
        <v>231016</v>
      </c>
      <c r="CU81" s="164" t="n">
        <v>231016</v>
      </c>
      <c r="CV81" s="164" t="n">
        <v>231016</v>
      </c>
      <c r="CW81" s="164" t="n">
        <v>231016</v>
      </c>
      <c r="CX81" s="164" t="n">
        <v>231016</v>
      </c>
      <c r="CY81" s="164" t="n">
        <v>231016</v>
      </c>
      <c r="CZ81" s="164" t="n">
        <v>231016</v>
      </c>
      <c r="DA81" s="164" t="n">
        <v>231016</v>
      </c>
      <c r="DB81" s="164" t="n">
        <v>231016</v>
      </c>
      <c r="DC81" s="164" t="n">
        <v>231016</v>
      </c>
      <c r="DD81" s="164" t="n">
        <v>231016</v>
      </c>
      <c r="DE81" s="164" t="n">
        <v>231016</v>
      </c>
      <c r="DF81" s="164" t="n">
        <v>231016</v>
      </c>
    </row>
    <row r="82" customFormat="false" ht="15" hidden="false" customHeight="true" outlineLevel="0" collapsed="false">
      <c r="A82" s="90"/>
      <c r="C82" s="104" t="n">
        <v>0</v>
      </c>
      <c r="D82" s="104" t="n">
        <v>0</v>
      </c>
      <c r="E82" s="104" t="n">
        <v>0</v>
      </c>
      <c r="F82" s="158" t="n">
        <v>0</v>
      </c>
      <c r="G82" s="158" t="n">
        <v>0</v>
      </c>
      <c r="H82" s="158" t="n">
        <v>0</v>
      </c>
      <c r="I82" s="158" t="n">
        <v>0</v>
      </c>
      <c r="J82" s="158" t="n">
        <v>0</v>
      </c>
      <c r="K82" s="158" t="n">
        <v>0</v>
      </c>
      <c r="L82" s="158" t="n">
        <v>0</v>
      </c>
      <c r="M82" s="158" t="n">
        <v>0</v>
      </c>
      <c r="N82" s="158" t="n">
        <v>0</v>
      </c>
      <c r="O82" s="158" t="n">
        <v>0</v>
      </c>
      <c r="P82" s="158" t="n">
        <v>0</v>
      </c>
      <c r="Q82" s="158" t="n">
        <v>0</v>
      </c>
      <c r="R82" s="158" t="n">
        <v>0</v>
      </c>
      <c r="S82" s="158" t="n">
        <v>0</v>
      </c>
      <c r="T82" s="158" t="n">
        <v>0</v>
      </c>
      <c r="U82" s="158" t="n">
        <v>0</v>
      </c>
      <c r="V82" s="158" t="n">
        <v>0</v>
      </c>
      <c r="W82" s="158" t="n">
        <v>0</v>
      </c>
      <c r="X82" s="158" t="n">
        <v>0</v>
      </c>
      <c r="Y82" s="158" t="n">
        <v>0</v>
      </c>
      <c r="Z82" s="158" t="n">
        <v>0</v>
      </c>
      <c r="AA82" s="158" t="n">
        <v>0</v>
      </c>
      <c r="AB82" s="158" t="n">
        <v>0</v>
      </c>
      <c r="AC82" s="158" t="n">
        <v>0</v>
      </c>
      <c r="AD82" s="158" t="n">
        <v>0</v>
      </c>
      <c r="AE82" s="158" t="n">
        <v>0</v>
      </c>
      <c r="AF82" s="158" t="n">
        <v>0</v>
      </c>
      <c r="AG82" s="158" t="n">
        <v>0</v>
      </c>
      <c r="AH82" s="158" t="n">
        <v>0</v>
      </c>
      <c r="AI82" s="158" t="n">
        <v>0</v>
      </c>
      <c r="AJ82" s="158" t="n">
        <v>0</v>
      </c>
      <c r="AK82" s="158" t="n">
        <v>0</v>
      </c>
      <c r="AL82" s="158" t="n">
        <v>0</v>
      </c>
      <c r="AM82" s="158" t="n">
        <v>0</v>
      </c>
      <c r="AN82" s="158" t="n">
        <v>0</v>
      </c>
      <c r="AO82" s="158" t="n">
        <v>0</v>
      </c>
      <c r="AP82" s="158" t="n">
        <v>0</v>
      </c>
      <c r="AQ82" s="158" t="n">
        <v>0</v>
      </c>
      <c r="AR82" s="158" t="n">
        <v>0</v>
      </c>
      <c r="AS82" s="158" t="n">
        <v>0</v>
      </c>
      <c r="AT82" s="158" t="n">
        <v>0</v>
      </c>
      <c r="AU82" s="158" t="n">
        <v>0</v>
      </c>
      <c r="AV82" s="158" t="n">
        <v>0</v>
      </c>
      <c r="AW82" s="158" t="n">
        <v>0</v>
      </c>
      <c r="AX82" s="158" t="n">
        <v>0</v>
      </c>
      <c r="AY82" s="158" t="n">
        <v>0</v>
      </c>
      <c r="AZ82" s="158" t="n">
        <v>0</v>
      </c>
      <c r="BA82" s="158" t="n">
        <v>0</v>
      </c>
      <c r="BB82" s="158" t="n">
        <v>0</v>
      </c>
      <c r="BC82" s="158" t="n">
        <v>0</v>
      </c>
      <c r="BD82" s="158" t="n">
        <v>0</v>
      </c>
      <c r="BE82" s="158" t="n">
        <v>0</v>
      </c>
      <c r="BF82" s="158" t="n">
        <v>0</v>
      </c>
      <c r="BG82" s="158" t="n">
        <v>0</v>
      </c>
      <c r="BH82" s="158" t="n">
        <v>0</v>
      </c>
      <c r="BI82" s="158" t="n">
        <v>0</v>
      </c>
      <c r="BJ82" s="158" t="n">
        <v>0</v>
      </c>
      <c r="BK82" s="158" t="n">
        <v>0</v>
      </c>
      <c r="BL82" s="158" t="n">
        <v>0</v>
      </c>
      <c r="BM82" s="158" t="n">
        <v>0</v>
      </c>
      <c r="BN82" s="158" t="n">
        <v>0</v>
      </c>
      <c r="BO82" s="158" t="n">
        <v>0</v>
      </c>
      <c r="BP82" s="158" t="n">
        <v>0</v>
      </c>
      <c r="BQ82" s="158" t="n">
        <v>0</v>
      </c>
      <c r="BR82" s="158" t="n">
        <v>0</v>
      </c>
      <c r="BS82" s="158" t="n">
        <v>0</v>
      </c>
      <c r="BT82" s="158" t="n">
        <v>0</v>
      </c>
      <c r="BU82" s="158" t="n">
        <v>0</v>
      </c>
      <c r="BV82" s="158" t="n">
        <v>0</v>
      </c>
      <c r="BW82" s="158" t="n">
        <v>0</v>
      </c>
      <c r="BX82" s="158" t="n">
        <v>0</v>
      </c>
      <c r="BY82" s="158" t="n">
        <v>0</v>
      </c>
      <c r="BZ82" s="158" t="n">
        <v>0</v>
      </c>
      <c r="CA82" s="158" t="n">
        <v>0</v>
      </c>
      <c r="CB82" s="158" t="n">
        <v>0</v>
      </c>
      <c r="CC82" s="158" t="n">
        <v>0</v>
      </c>
      <c r="CD82" s="158" t="n">
        <v>0</v>
      </c>
      <c r="CE82" s="158" t="n">
        <v>0</v>
      </c>
      <c r="CF82" s="158" t="n">
        <v>0</v>
      </c>
      <c r="CG82" s="158" t="n">
        <v>0</v>
      </c>
      <c r="CH82" s="158" t="n">
        <v>0</v>
      </c>
      <c r="CI82" s="158" t="n">
        <v>0</v>
      </c>
      <c r="CJ82" s="158" t="n">
        <v>0</v>
      </c>
      <c r="CK82" s="158" t="n">
        <v>0</v>
      </c>
      <c r="CL82" s="158" t="n">
        <v>0</v>
      </c>
      <c r="CM82" s="158" t="n">
        <v>0</v>
      </c>
      <c r="CN82" s="158" t="n">
        <v>0</v>
      </c>
      <c r="CO82" s="158" t="n">
        <v>0</v>
      </c>
      <c r="CP82" s="158" t="n">
        <v>0</v>
      </c>
      <c r="CQ82" s="158" t="n">
        <v>0</v>
      </c>
      <c r="CR82" s="158" t="n">
        <v>0</v>
      </c>
      <c r="CS82" s="158" t="n">
        <v>0</v>
      </c>
      <c r="CT82" s="158" t="n">
        <v>0</v>
      </c>
      <c r="CU82" s="158" t="n">
        <v>0</v>
      </c>
      <c r="CV82" s="158" t="n">
        <v>0</v>
      </c>
      <c r="CW82" s="158" t="n">
        <v>0</v>
      </c>
      <c r="CX82" s="158" t="n">
        <v>0</v>
      </c>
      <c r="CY82" s="158" t="n">
        <v>0</v>
      </c>
      <c r="CZ82" s="158" t="n">
        <v>0</v>
      </c>
      <c r="DA82" s="158" t="n">
        <v>0</v>
      </c>
      <c r="DB82" s="158" t="n">
        <v>0</v>
      </c>
      <c r="DC82" s="158" t="n">
        <v>0</v>
      </c>
      <c r="DD82" s="158" t="n">
        <v>0</v>
      </c>
      <c r="DE82" s="158" t="n">
        <v>0</v>
      </c>
      <c r="DF82" s="158" t="n">
        <v>0</v>
      </c>
    </row>
    <row r="83" customFormat="false" ht="15" hidden="false" customHeight="true" outlineLevel="0" collapsed="false">
      <c r="A83" s="90" t="s">
        <v>123</v>
      </c>
      <c r="C83" s="104" t="n">
        <v>-54421</v>
      </c>
      <c r="D83" s="104" t="n">
        <v>-54166.68</v>
      </c>
      <c r="E83" s="104" t="n">
        <v>-54166.68</v>
      </c>
      <c r="F83" s="158" t="n">
        <v>-11458.3333333333</v>
      </c>
      <c r="G83" s="158" t="n">
        <v>-11458.3333333333</v>
      </c>
      <c r="H83" s="158" t="n">
        <v>-11458.3333333333</v>
      </c>
      <c r="I83" s="158" t="n">
        <v>-11458.3333333333</v>
      </c>
      <c r="J83" s="158" t="n">
        <v>-11458.3333333333</v>
      </c>
      <c r="K83" s="158" t="n">
        <v>-11458.3333333333</v>
      </c>
      <c r="L83" s="158" t="n">
        <v>-11458.3333333333</v>
      </c>
      <c r="M83" s="158" t="n">
        <v>-11458.3333333333</v>
      </c>
      <c r="N83" s="158" t="n">
        <v>-11458.3333333333</v>
      </c>
      <c r="O83" s="158" t="n">
        <v>-11458.3333333333</v>
      </c>
      <c r="P83" s="158" t="n">
        <v>-11458.3333333333</v>
      </c>
      <c r="Q83" s="158" t="n">
        <v>-11458.3333333333</v>
      </c>
      <c r="R83" s="158" t="n">
        <v>-11687.5</v>
      </c>
      <c r="S83" s="158" t="n">
        <v>-11687.5</v>
      </c>
      <c r="T83" s="158" t="n">
        <v>-11687.5</v>
      </c>
      <c r="U83" s="158" t="n">
        <v>-11687.5</v>
      </c>
      <c r="V83" s="158" t="n">
        <v>-11687.5</v>
      </c>
      <c r="W83" s="158" t="n">
        <v>-11687.5</v>
      </c>
      <c r="X83" s="158" t="n">
        <v>-11687.5</v>
      </c>
      <c r="Y83" s="158" t="n">
        <v>-11687.5</v>
      </c>
      <c r="Z83" s="158" t="n">
        <v>-11687.5</v>
      </c>
      <c r="AA83" s="158" t="n">
        <v>-11687.5</v>
      </c>
      <c r="AB83" s="158" t="n">
        <v>-11687.5</v>
      </c>
      <c r="AC83" s="158" t="n">
        <v>-11687.5</v>
      </c>
      <c r="AD83" s="158" t="n">
        <v>-11921.25</v>
      </c>
      <c r="AE83" s="158" t="n">
        <v>-11921.25</v>
      </c>
      <c r="AF83" s="158" t="n">
        <v>-11921.25</v>
      </c>
      <c r="AG83" s="158" t="n">
        <v>-11921.25</v>
      </c>
      <c r="AH83" s="158" t="n">
        <v>-11921.25</v>
      </c>
      <c r="AI83" s="158" t="n">
        <v>-11921.25</v>
      </c>
      <c r="AJ83" s="158" t="n">
        <v>-11921.25</v>
      </c>
      <c r="AK83" s="158" t="n">
        <v>-11921.25</v>
      </c>
      <c r="AL83" s="158" t="n">
        <v>-11921.25</v>
      </c>
      <c r="AM83" s="158" t="n">
        <v>-11921.25</v>
      </c>
      <c r="AN83" s="158" t="n">
        <v>-11921.25</v>
      </c>
      <c r="AO83" s="158" t="n">
        <v>-11921.25</v>
      </c>
      <c r="AP83" s="158" t="n">
        <v>-12159.675</v>
      </c>
      <c r="AQ83" s="158" t="n">
        <v>-12159.675</v>
      </c>
      <c r="AR83" s="158" t="n">
        <v>-12159.675</v>
      </c>
      <c r="AS83" s="158" t="n">
        <v>-12159.675</v>
      </c>
      <c r="AT83" s="158" t="n">
        <v>-12159.675</v>
      </c>
      <c r="AU83" s="158" t="n">
        <v>-12159.675</v>
      </c>
      <c r="AV83" s="158" t="n">
        <v>-12159.675</v>
      </c>
      <c r="AW83" s="158" t="n">
        <v>-12159.675</v>
      </c>
      <c r="AX83" s="158" t="n">
        <v>-12159.675</v>
      </c>
      <c r="AY83" s="158" t="n">
        <v>-12159.675</v>
      </c>
      <c r="AZ83" s="158" t="n">
        <v>-12159.675</v>
      </c>
      <c r="BA83" s="158" t="n">
        <v>-12159.675</v>
      </c>
      <c r="BB83" s="158" t="n">
        <v>-12402.8685</v>
      </c>
      <c r="BC83" s="158" t="n">
        <v>-12402.8685</v>
      </c>
      <c r="BD83" s="158" t="n">
        <v>-12402.8685</v>
      </c>
      <c r="BE83" s="158" t="n">
        <v>-12402.8685</v>
      </c>
      <c r="BF83" s="158" t="n">
        <v>-12402.8685</v>
      </c>
      <c r="BG83" s="158" t="n">
        <v>-12402.8685</v>
      </c>
      <c r="BH83" s="158" t="n">
        <v>-12402.8685</v>
      </c>
      <c r="BI83" s="158" t="n">
        <v>-12402.8685</v>
      </c>
      <c r="BJ83" s="158" t="n">
        <v>-12402.8685</v>
      </c>
      <c r="BK83" s="158" t="n">
        <v>-12402.8685</v>
      </c>
      <c r="BL83" s="158" t="n">
        <v>-12402.8685</v>
      </c>
      <c r="BM83" s="158" t="n">
        <v>-12402.8685</v>
      </c>
      <c r="BN83" s="158" t="n">
        <v>-12650.92587</v>
      </c>
      <c r="BO83" s="158" t="n">
        <v>-12650.92587</v>
      </c>
      <c r="BP83" s="158" t="n">
        <v>-12650.92587</v>
      </c>
      <c r="BQ83" s="158" t="n">
        <v>-12650.92587</v>
      </c>
      <c r="BR83" s="158" t="n">
        <v>-12650.92587</v>
      </c>
      <c r="BS83" s="158" t="n">
        <v>-12650.92587</v>
      </c>
      <c r="BT83" s="158" t="n">
        <v>-12650.92587</v>
      </c>
      <c r="BU83" s="158" t="n">
        <v>-12650.92587</v>
      </c>
      <c r="BV83" s="158" t="n">
        <v>-12650.92587</v>
      </c>
      <c r="BW83" s="158" t="n">
        <v>-12650.92587</v>
      </c>
      <c r="BX83" s="158" t="n">
        <v>-12650.92587</v>
      </c>
      <c r="BY83" s="158" t="n">
        <v>-12650.92587</v>
      </c>
      <c r="BZ83" s="158" t="n">
        <v>-12903.9443874</v>
      </c>
      <c r="CA83" s="158" t="n">
        <v>-12903.9443874</v>
      </c>
      <c r="CB83" s="158" t="n">
        <v>-12903.9443874</v>
      </c>
      <c r="CC83" s="158" t="n">
        <v>-12903.9443874</v>
      </c>
      <c r="CD83" s="158" t="n">
        <v>-12903.9443874</v>
      </c>
      <c r="CE83" s="158" t="n">
        <v>-12903.9443874</v>
      </c>
      <c r="CF83" s="158" t="n">
        <v>-12903.9443874</v>
      </c>
      <c r="CG83" s="158" t="n">
        <v>-12903.9443874</v>
      </c>
      <c r="CH83" s="158" t="n">
        <v>-12903.9443874</v>
      </c>
      <c r="CI83" s="158" t="n">
        <v>-12903.9443874</v>
      </c>
      <c r="CJ83" s="158" t="n">
        <v>-12903.9443874</v>
      </c>
      <c r="CK83" s="158" t="n">
        <v>-12903.9443874</v>
      </c>
      <c r="CL83" s="158" t="n">
        <v>-13162.023275148</v>
      </c>
      <c r="CM83" s="158" t="n">
        <v>-13162.023275148</v>
      </c>
      <c r="CN83" s="158" t="n">
        <v>-13162.023275148</v>
      </c>
      <c r="CO83" s="158" t="n">
        <v>-13162.023275148</v>
      </c>
      <c r="CP83" s="158" t="n">
        <v>-13162.023275148</v>
      </c>
      <c r="CQ83" s="158" t="n">
        <v>-13162.023275148</v>
      </c>
      <c r="CR83" s="158" t="n">
        <v>-13162.023275148</v>
      </c>
      <c r="CS83" s="158" t="n">
        <v>-13162.023275148</v>
      </c>
      <c r="CT83" s="158" t="n">
        <v>-13162.023275148</v>
      </c>
      <c r="CU83" s="158" t="n">
        <v>-13162.023275148</v>
      </c>
      <c r="CV83" s="158" t="n">
        <v>-13162.023275148</v>
      </c>
      <c r="CW83" s="158" t="n">
        <v>-13162.023275148</v>
      </c>
      <c r="CX83" s="158" t="n">
        <v>-13425.263740651</v>
      </c>
      <c r="CY83" s="158" t="n">
        <v>-13425.263740651</v>
      </c>
      <c r="CZ83" s="158" t="n">
        <v>-13425.263740651</v>
      </c>
      <c r="DA83" s="158" t="n">
        <v>-13425.263740651</v>
      </c>
      <c r="DB83" s="158" t="n">
        <v>-13425.263740651</v>
      </c>
      <c r="DC83" s="158" t="n">
        <v>-13425.263740651</v>
      </c>
      <c r="DD83" s="158" t="n">
        <v>-13425.263740651</v>
      </c>
      <c r="DE83" s="158" t="n">
        <v>-13425.263740651</v>
      </c>
      <c r="DF83" s="158" t="n">
        <v>-13425.263740651</v>
      </c>
    </row>
    <row r="84" customFormat="false" ht="15" hidden="false" customHeight="true" outlineLevel="0" collapsed="false">
      <c r="A84" s="90" t="s">
        <v>65</v>
      </c>
      <c r="C84" s="104" t="n">
        <v>-5302</v>
      </c>
      <c r="D84" s="104" t="n">
        <v>-4279.79</v>
      </c>
      <c r="E84" s="104" t="n">
        <v>-4145.97</v>
      </c>
      <c r="F84" s="158" t="n">
        <v>-802.083333333334</v>
      </c>
      <c r="G84" s="158" t="n">
        <v>-802.083333333334</v>
      </c>
      <c r="H84" s="158" t="n">
        <v>-802.083333333334</v>
      </c>
      <c r="I84" s="158" t="n">
        <v>-802.083333333334</v>
      </c>
      <c r="J84" s="158" t="n">
        <v>-802.083333333334</v>
      </c>
      <c r="K84" s="158" t="n">
        <v>-802.083333333334</v>
      </c>
      <c r="L84" s="158" t="n">
        <v>-802.083333333334</v>
      </c>
      <c r="M84" s="158" t="n">
        <v>-802.083333333334</v>
      </c>
      <c r="N84" s="158" t="n">
        <v>-802.083333333334</v>
      </c>
      <c r="O84" s="158" t="n">
        <v>-802.083333333334</v>
      </c>
      <c r="P84" s="158" t="n">
        <v>-802.083333333334</v>
      </c>
      <c r="Q84" s="158" t="n">
        <v>-802.083333333334</v>
      </c>
      <c r="R84" s="158" t="n">
        <v>-818.125</v>
      </c>
      <c r="S84" s="158" t="n">
        <v>-818.125</v>
      </c>
      <c r="T84" s="158" t="n">
        <v>-818.125</v>
      </c>
      <c r="U84" s="158" t="n">
        <v>-818.125</v>
      </c>
      <c r="V84" s="158" t="n">
        <v>-818.125</v>
      </c>
      <c r="W84" s="158" t="n">
        <v>-818.125</v>
      </c>
      <c r="X84" s="158" t="n">
        <v>-818.125</v>
      </c>
      <c r="Y84" s="158" t="n">
        <v>-818.125</v>
      </c>
      <c r="Z84" s="158" t="n">
        <v>-818.125</v>
      </c>
      <c r="AA84" s="158" t="n">
        <v>-818.125</v>
      </c>
      <c r="AB84" s="158" t="n">
        <v>-818.125</v>
      </c>
      <c r="AC84" s="158" t="n">
        <v>-818.125</v>
      </c>
      <c r="AD84" s="158" t="n">
        <v>-834.4875</v>
      </c>
      <c r="AE84" s="158" t="n">
        <v>-834.4875</v>
      </c>
      <c r="AF84" s="158" t="n">
        <v>-834.4875</v>
      </c>
      <c r="AG84" s="158" t="n">
        <v>-834.4875</v>
      </c>
      <c r="AH84" s="158" t="n">
        <v>-834.4875</v>
      </c>
      <c r="AI84" s="158" t="n">
        <v>-834.4875</v>
      </c>
      <c r="AJ84" s="158" t="n">
        <v>-834.4875</v>
      </c>
      <c r="AK84" s="158" t="n">
        <v>-834.4875</v>
      </c>
      <c r="AL84" s="158" t="n">
        <v>-834.4875</v>
      </c>
      <c r="AM84" s="158" t="n">
        <v>-834.4875</v>
      </c>
      <c r="AN84" s="158" t="n">
        <v>-834.4875</v>
      </c>
      <c r="AO84" s="158" t="n">
        <v>-834.4875</v>
      </c>
      <c r="AP84" s="158" t="n">
        <v>-851.17725</v>
      </c>
      <c r="AQ84" s="158" t="n">
        <v>-851.17725</v>
      </c>
      <c r="AR84" s="158" t="n">
        <v>-851.17725</v>
      </c>
      <c r="AS84" s="158" t="n">
        <v>-851.17725</v>
      </c>
      <c r="AT84" s="158" t="n">
        <v>-851.17725</v>
      </c>
      <c r="AU84" s="158" t="n">
        <v>-851.17725</v>
      </c>
      <c r="AV84" s="158" t="n">
        <v>-851.17725</v>
      </c>
      <c r="AW84" s="158" t="n">
        <v>-851.17725</v>
      </c>
      <c r="AX84" s="158" t="n">
        <v>-851.17725</v>
      </c>
      <c r="AY84" s="158" t="n">
        <v>-851.17725</v>
      </c>
      <c r="AZ84" s="158" t="n">
        <v>-851.17725</v>
      </c>
      <c r="BA84" s="158" t="n">
        <v>-851.17725</v>
      </c>
      <c r="BB84" s="158" t="n">
        <v>-868.200795</v>
      </c>
      <c r="BC84" s="158" t="n">
        <v>-868.200795</v>
      </c>
      <c r="BD84" s="158" t="n">
        <v>-868.200795</v>
      </c>
      <c r="BE84" s="158" t="n">
        <v>-868.200795</v>
      </c>
      <c r="BF84" s="158" t="n">
        <v>-868.200795</v>
      </c>
      <c r="BG84" s="158" t="n">
        <v>-868.200795</v>
      </c>
      <c r="BH84" s="158" t="n">
        <v>-868.200795</v>
      </c>
      <c r="BI84" s="158" t="n">
        <v>-868.200795</v>
      </c>
      <c r="BJ84" s="158" t="n">
        <v>-868.200795</v>
      </c>
      <c r="BK84" s="158" t="n">
        <v>-868.200795</v>
      </c>
      <c r="BL84" s="158" t="n">
        <v>-868.200795</v>
      </c>
      <c r="BM84" s="158" t="n">
        <v>-868.200795</v>
      </c>
      <c r="BN84" s="158" t="n">
        <v>-885.5648109</v>
      </c>
      <c r="BO84" s="158" t="n">
        <v>-885.5648109</v>
      </c>
      <c r="BP84" s="158" t="n">
        <v>-885.5648109</v>
      </c>
      <c r="BQ84" s="158" t="n">
        <v>-885.5648109</v>
      </c>
      <c r="BR84" s="158" t="n">
        <v>-885.5648109</v>
      </c>
      <c r="BS84" s="158" t="n">
        <v>-885.5648109</v>
      </c>
      <c r="BT84" s="158" t="n">
        <v>-885.5648109</v>
      </c>
      <c r="BU84" s="158" t="n">
        <v>-885.5648109</v>
      </c>
      <c r="BV84" s="158" t="n">
        <v>-885.5648109</v>
      </c>
      <c r="BW84" s="158" t="n">
        <v>-885.5648109</v>
      </c>
      <c r="BX84" s="158" t="n">
        <v>-885.5648109</v>
      </c>
      <c r="BY84" s="158" t="n">
        <v>-885.5648109</v>
      </c>
      <c r="BZ84" s="158" t="n">
        <v>-903.276107118</v>
      </c>
      <c r="CA84" s="158" t="n">
        <v>-903.276107118</v>
      </c>
      <c r="CB84" s="158" t="n">
        <v>-903.276107118</v>
      </c>
      <c r="CC84" s="158" t="n">
        <v>-903.276107118</v>
      </c>
      <c r="CD84" s="158" t="n">
        <v>-903.276107118</v>
      </c>
      <c r="CE84" s="158" t="n">
        <v>-903.276107118</v>
      </c>
      <c r="CF84" s="158" t="n">
        <v>-903.276107118</v>
      </c>
      <c r="CG84" s="158" t="n">
        <v>-903.276107118</v>
      </c>
      <c r="CH84" s="158" t="n">
        <v>-903.276107118</v>
      </c>
      <c r="CI84" s="158" t="n">
        <v>-903.276107118</v>
      </c>
      <c r="CJ84" s="158" t="n">
        <v>-903.276107118</v>
      </c>
      <c r="CK84" s="158" t="n">
        <v>-903.276107118</v>
      </c>
      <c r="CL84" s="158" t="n">
        <v>-921.34162926036</v>
      </c>
      <c r="CM84" s="158" t="n">
        <v>-921.34162926036</v>
      </c>
      <c r="CN84" s="158" t="n">
        <v>-921.34162926036</v>
      </c>
      <c r="CO84" s="158" t="n">
        <v>-921.34162926036</v>
      </c>
      <c r="CP84" s="158" t="n">
        <v>-921.34162926036</v>
      </c>
      <c r="CQ84" s="158" t="n">
        <v>-921.34162926036</v>
      </c>
      <c r="CR84" s="158" t="n">
        <v>-921.34162926036</v>
      </c>
      <c r="CS84" s="158" t="n">
        <v>-921.34162926036</v>
      </c>
      <c r="CT84" s="158" t="n">
        <v>-921.34162926036</v>
      </c>
      <c r="CU84" s="158" t="n">
        <v>0</v>
      </c>
      <c r="CV84" s="158" t="n">
        <v>0</v>
      </c>
      <c r="CW84" s="158" t="n">
        <v>0</v>
      </c>
      <c r="CX84" s="158" t="n">
        <v>0</v>
      </c>
      <c r="CY84" s="158" t="n">
        <v>0</v>
      </c>
      <c r="CZ84" s="158" t="n">
        <v>0</v>
      </c>
      <c r="DA84" s="158" t="n">
        <v>0</v>
      </c>
      <c r="DB84" s="158" t="n">
        <v>0</v>
      </c>
      <c r="DC84" s="158" t="n">
        <v>0</v>
      </c>
      <c r="DD84" s="158" t="n">
        <v>0</v>
      </c>
      <c r="DE84" s="158" t="n">
        <v>0</v>
      </c>
      <c r="DF84" s="158" t="n">
        <v>0</v>
      </c>
    </row>
    <row r="85" customFormat="false" ht="15" hidden="false" customHeight="true" outlineLevel="0" collapsed="false">
      <c r="A85" s="90" t="s">
        <v>67</v>
      </c>
      <c r="C85" s="104" t="n">
        <v>-12137.77</v>
      </c>
      <c r="D85" s="104" t="n">
        <v>-12137.78</v>
      </c>
      <c r="E85" s="104" t="n">
        <v>-12137.78</v>
      </c>
      <c r="F85" s="158" t="n">
        <v>-572.916666666667</v>
      </c>
      <c r="G85" s="158" t="n">
        <v>-572.916666666667</v>
      </c>
      <c r="H85" s="158" t="n">
        <v>-572.916666666667</v>
      </c>
      <c r="I85" s="158" t="n">
        <v>-572.916666666667</v>
      </c>
      <c r="J85" s="158" t="n">
        <v>-572.916666666667</v>
      </c>
      <c r="K85" s="158" t="n">
        <v>-572.916666666667</v>
      </c>
      <c r="L85" s="158" t="n">
        <v>-572.916666666667</v>
      </c>
      <c r="M85" s="158" t="n">
        <v>-572.916666666667</v>
      </c>
      <c r="N85" s="158" t="n">
        <v>-572.916666666667</v>
      </c>
      <c r="O85" s="158" t="n">
        <v>-572.916666666667</v>
      </c>
      <c r="P85" s="158" t="n">
        <v>-572.916666666667</v>
      </c>
      <c r="Q85" s="158" t="n">
        <v>-572.916666666667</v>
      </c>
      <c r="R85" s="158" t="n">
        <v>-584.375</v>
      </c>
      <c r="S85" s="158" t="n">
        <v>-584.375</v>
      </c>
      <c r="T85" s="158" t="n">
        <v>-584.375</v>
      </c>
      <c r="U85" s="158" t="n">
        <v>-584.375</v>
      </c>
      <c r="V85" s="158" t="n">
        <v>-584.375</v>
      </c>
      <c r="W85" s="158" t="n">
        <v>-584.375</v>
      </c>
      <c r="X85" s="158" t="n">
        <v>-584.375</v>
      </c>
      <c r="Y85" s="158" t="n">
        <v>-584.375</v>
      </c>
      <c r="Z85" s="158" t="n">
        <v>-584.375</v>
      </c>
      <c r="AA85" s="158" t="n">
        <v>-584.375</v>
      </c>
      <c r="AB85" s="158" t="n">
        <v>-584.375</v>
      </c>
      <c r="AC85" s="158" t="n">
        <v>-584.375</v>
      </c>
      <c r="AD85" s="158" t="n">
        <v>-596.0625</v>
      </c>
      <c r="AE85" s="158" t="n">
        <v>-596.0625</v>
      </c>
      <c r="AF85" s="158" t="n">
        <v>-596.0625</v>
      </c>
      <c r="AG85" s="158" t="n">
        <v>-596.0625</v>
      </c>
      <c r="AH85" s="158" t="n">
        <v>-596.0625</v>
      </c>
      <c r="AI85" s="158" t="n">
        <v>-596.0625</v>
      </c>
      <c r="AJ85" s="158" t="n">
        <v>-596.0625</v>
      </c>
      <c r="AK85" s="158" t="n">
        <v>-596.0625</v>
      </c>
      <c r="AL85" s="158" t="n">
        <v>-596.0625</v>
      </c>
      <c r="AM85" s="158" t="n">
        <v>-596.0625</v>
      </c>
      <c r="AN85" s="158" t="n">
        <v>-596.0625</v>
      </c>
      <c r="AO85" s="158" t="n">
        <v>-596.0625</v>
      </c>
      <c r="AP85" s="158" t="n">
        <v>-607.98375</v>
      </c>
      <c r="AQ85" s="158" t="n">
        <v>-607.98375</v>
      </c>
      <c r="AR85" s="158" t="n">
        <v>-607.98375</v>
      </c>
      <c r="AS85" s="158" t="n">
        <v>-607.98375</v>
      </c>
      <c r="AT85" s="158" t="n">
        <v>-607.98375</v>
      </c>
      <c r="AU85" s="158" t="n">
        <v>-607.98375</v>
      </c>
      <c r="AV85" s="158" t="n">
        <v>-607.98375</v>
      </c>
      <c r="AW85" s="158" t="n">
        <v>-607.98375</v>
      </c>
      <c r="AX85" s="158" t="n">
        <v>-607.98375</v>
      </c>
      <c r="AY85" s="158" t="n">
        <v>-607.98375</v>
      </c>
      <c r="AZ85" s="158" t="n">
        <v>-607.98375</v>
      </c>
      <c r="BA85" s="158" t="n">
        <v>-607.98375</v>
      </c>
      <c r="BB85" s="158" t="n">
        <v>-620.143425</v>
      </c>
      <c r="BC85" s="158" t="n">
        <v>-620.143425</v>
      </c>
      <c r="BD85" s="158" t="n">
        <v>-620.143425</v>
      </c>
      <c r="BE85" s="158" t="n">
        <v>-620.143425</v>
      </c>
      <c r="BF85" s="158" t="n">
        <v>-620.143425</v>
      </c>
      <c r="BG85" s="158" t="n">
        <v>-620.143425</v>
      </c>
      <c r="BH85" s="158" t="n">
        <v>-620.143425</v>
      </c>
      <c r="BI85" s="158" t="n">
        <v>-620.143425</v>
      </c>
      <c r="BJ85" s="158" t="n">
        <v>-620.143425</v>
      </c>
      <c r="BK85" s="158" t="n">
        <v>-620.143425</v>
      </c>
      <c r="BL85" s="158" t="n">
        <v>-620.143425</v>
      </c>
      <c r="BM85" s="158" t="n">
        <v>-620.143425</v>
      </c>
      <c r="BN85" s="158" t="n">
        <v>-632.5462935</v>
      </c>
      <c r="BO85" s="158" t="n">
        <v>-632.5462935</v>
      </c>
      <c r="BP85" s="158" t="n">
        <v>-632.5462935</v>
      </c>
      <c r="BQ85" s="158" t="n">
        <v>-632.5462935</v>
      </c>
      <c r="BR85" s="158" t="n">
        <v>-632.5462935</v>
      </c>
      <c r="BS85" s="158" t="n">
        <v>-632.5462935</v>
      </c>
      <c r="BT85" s="158" t="n">
        <v>-632.5462935</v>
      </c>
      <c r="BU85" s="158" t="n">
        <v>-632.5462935</v>
      </c>
      <c r="BV85" s="158" t="n">
        <v>-632.5462935</v>
      </c>
      <c r="BW85" s="158" t="n">
        <v>-632.5462935</v>
      </c>
      <c r="BX85" s="158" t="n">
        <v>-632.5462935</v>
      </c>
      <c r="BY85" s="158" t="n">
        <v>-632.5462935</v>
      </c>
      <c r="BZ85" s="158" t="n">
        <v>-645.19721937</v>
      </c>
      <c r="CA85" s="158" t="n">
        <v>-645.19721937</v>
      </c>
      <c r="CB85" s="158" t="n">
        <v>-645.19721937</v>
      </c>
      <c r="CC85" s="158" t="n">
        <v>-645.19721937</v>
      </c>
      <c r="CD85" s="158" t="n">
        <v>-645.19721937</v>
      </c>
      <c r="CE85" s="158" t="n">
        <v>-645.19721937</v>
      </c>
      <c r="CF85" s="158" t="n">
        <v>-645.19721937</v>
      </c>
      <c r="CG85" s="158" t="n">
        <v>-645.19721937</v>
      </c>
      <c r="CH85" s="158" t="n">
        <v>-645.19721937</v>
      </c>
      <c r="CI85" s="158" t="n">
        <v>-645.19721937</v>
      </c>
      <c r="CJ85" s="158" t="n">
        <v>-645.19721937</v>
      </c>
      <c r="CK85" s="158" t="n">
        <v>-645.19721937</v>
      </c>
      <c r="CL85" s="158" t="n">
        <v>-658.1011637574</v>
      </c>
      <c r="CM85" s="158" t="n">
        <v>-658.1011637574</v>
      </c>
      <c r="CN85" s="158" t="n">
        <v>-658.1011637574</v>
      </c>
      <c r="CO85" s="158" t="n">
        <v>-658.1011637574</v>
      </c>
      <c r="CP85" s="158" t="n">
        <v>-658.1011637574</v>
      </c>
      <c r="CQ85" s="158" t="n">
        <v>-658.1011637574</v>
      </c>
      <c r="CR85" s="158" t="n">
        <v>-658.1011637574</v>
      </c>
      <c r="CS85" s="158" t="n">
        <v>-658.1011637574</v>
      </c>
      <c r="CT85" s="158" t="n">
        <v>-658.1011637574</v>
      </c>
      <c r="CU85" s="158" t="n">
        <v>0</v>
      </c>
      <c r="CV85" s="158" t="n">
        <v>0</v>
      </c>
      <c r="CW85" s="158" t="n">
        <v>0</v>
      </c>
      <c r="CX85" s="158" t="n">
        <v>0</v>
      </c>
      <c r="CY85" s="158" t="n">
        <v>0</v>
      </c>
      <c r="CZ85" s="158" t="n">
        <v>0</v>
      </c>
      <c r="DA85" s="158" t="n">
        <v>0</v>
      </c>
      <c r="DB85" s="158" t="n">
        <v>0</v>
      </c>
      <c r="DC85" s="158" t="n">
        <v>0</v>
      </c>
      <c r="DD85" s="158" t="n">
        <v>0</v>
      </c>
      <c r="DE85" s="158" t="n">
        <v>0</v>
      </c>
      <c r="DF85" s="158" t="n">
        <v>0</v>
      </c>
    </row>
    <row r="86" customFormat="false" ht="15" hidden="false" customHeight="true" outlineLevel="0" collapsed="false">
      <c r="A86" s="90" t="s">
        <v>68</v>
      </c>
      <c r="C86" s="104" t="n">
        <v>-475.76</v>
      </c>
      <c r="D86" s="104" t="n">
        <v>-475.76</v>
      </c>
      <c r="E86" s="104" t="n">
        <v>-475.76</v>
      </c>
      <c r="F86" s="158" t="n">
        <v>-229.166666666667</v>
      </c>
      <c r="G86" s="158" t="n">
        <v>-229.166666666667</v>
      </c>
      <c r="H86" s="158" t="n">
        <v>-229.166666666667</v>
      </c>
      <c r="I86" s="158" t="n">
        <v>-229.166666666667</v>
      </c>
      <c r="J86" s="158" t="n">
        <v>-229.166666666667</v>
      </c>
      <c r="K86" s="158" t="n">
        <v>-229.166666666667</v>
      </c>
      <c r="L86" s="158" t="n">
        <v>-229.166666666667</v>
      </c>
      <c r="M86" s="158" t="n">
        <v>-229.166666666667</v>
      </c>
      <c r="N86" s="158" t="n">
        <v>-229.166666666667</v>
      </c>
      <c r="O86" s="158" t="n">
        <v>-229.166666666667</v>
      </c>
      <c r="P86" s="158" t="n">
        <v>-229.166666666667</v>
      </c>
      <c r="Q86" s="158" t="n">
        <v>-229.166666666667</v>
      </c>
      <c r="R86" s="158" t="n">
        <v>-233.75</v>
      </c>
      <c r="S86" s="158" t="n">
        <v>-233.75</v>
      </c>
      <c r="T86" s="158" t="n">
        <v>-233.75</v>
      </c>
      <c r="U86" s="158" t="n">
        <v>-233.75</v>
      </c>
      <c r="V86" s="158" t="n">
        <v>-233.75</v>
      </c>
      <c r="W86" s="158" t="n">
        <v>-233.75</v>
      </c>
      <c r="X86" s="158" t="n">
        <v>-233.75</v>
      </c>
      <c r="Y86" s="158" t="n">
        <v>-233.75</v>
      </c>
      <c r="Z86" s="158" t="n">
        <v>-233.75</v>
      </c>
      <c r="AA86" s="158" t="n">
        <v>-233.75</v>
      </c>
      <c r="AB86" s="158" t="n">
        <v>-233.75</v>
      </c>
      <c r="AC86" s="158" t="n">
        <v>-233.75</v>
      </c>
      <c r="AD86" s="158" t="n">
        <v>-238.425</v>
      </c>
      <c r="AE86" s="158" t="n">
        <v>-238.425</v>
      </c>
      <c r="AF86" s="158" t="n">
        <v>-238.425</v>
      </c>
      <c r="AG86" s="158" t="n">
        <v>-238.425</v>
      </c>
      <c r="AH86" s="158" t="n">
        <v>-238.425</v>
      </c>
      <c r="AI86" s="158" t="n">
        <v>-238.425</v>
      </c>
      <c r="AJ86" s="158" t="n">
        <v>-238.425</v>
      </c>
      <c r="AK86" s="158" t="n">
        <v>-238.425</v>
      </c>
      <c r="AL86" s="158" t="n">
        <v>-238.425</v>
      </c>
      <c r="AM86" s="158" t="n">
        <v>-238.425</v>
      </c>
      <c r="AN86" s="158" t="n">
        <v>-238.425</v>
      </c>
      <c r="AO86" s="158" t="n">
        <v>-238.425</v>
      </c>
      <c r="AP86" s="158" t="n">
        <v>-243.1935</v>
      </c>
      <c r="AQ86" s="158" t="n">
        <v>-243.1935</v>
      </c>
      <c r="AR86" s="158" t="n">
        <v>-243.1935</v>
      </c>
      <c r="AS86" s="158" t="n">
        <v>-243.1935</v>
      </c>
      <c r="AT86" s="158" t="n">
        <v>-243.1935</v>
      </c>
      <c r="AU86" s="158" t="n">
        <v>-243.1935</v>
      </c>
      <c r="AV86" s="158" t="n">
        <v>-243.1935</v>
      </c>
      <c r="AW86" s="158" t="n">
        <v>-243.1935</v>
      </c>
      <c r="AX86" s="158" t="n">
        <v>-243.1935</v>
      </c>
      <c r="AY86" s="158" t="n">
        <v>-243.1935</v>
      </c>
      <c r="AZ86" s="158" t="n">
        <v>-243.1935</v>
      </c>
      <c r="BA86" s="158" t="n">
        <v>-243.1935</v>
      </c>
      <c r="BB86" s="158" t="n">
        <v>-248.05737</v>
      </c>
      <c r="BC86" s="158" t="n">
        <v>-248.05737</v>
      </c>
      <c r="BD86" s="158" t="n">
        <v>-248.05737</v>
      </c>
      <c r="BE86" s="158" t="n">
        <v>-248.05737</v>
      </c>
      <c r="BF86" s="158" t="n">
        <v>-248.05737</v>
      </c>
      <c r="BG86" s="158" t="n">
        <v>-248.05737</v>
      </c>
      <c r="BH86" s="158" t="n">
        <v>-248.05737</v>
      </c>
      <c r="BI86" s="158" t="n">
        <v>-248.05737</v>
      </c>
      <c r="BJ86" s="158" t="n">
        <v>-248.05737</v>
      </c>
      <c r="BK86" s="158" t="n">
        <v>-248.05737</v>
      </c>
      <c r="BL86" s="158" t="n">
        <v>-248.05737</v>
      </c>
      <c r="BM86" s="158" t="n">
        <v>-248.05737</v>
      </c>
      <c r="BN86" s="158" t="n">
        <v>-253.0185174</v>
      </c>
      <c r="BO86" s="158" t="n">
        <v>-253.0185174</v>
      </c>
      <c r="BP86" s="158" t="n">
        <v>-253.0185174</v>
      </c>
      <c r="BQ86" s="158" t="n">
        <v>-253.0185174</v>
      </c>
      <c r="BR86" s="158" t="n">
        <v>-253.0185174</v>
      </c>
      <c r="BS86" s="158" t="n">
        <v>-253.0185174</v>
      </c>
      <c r="BT86" s="158" t="n">
        <v>-253.0185174</v>
      </c>
      <c r="BU86" s="158" t="n">
        <v>-253.0185174</v>
      </c>
      <c r="BV86" s="158" t="n">
        <v>-253.0185174</v>
      </c>
      <c r="BW86" s="158" t="n">
        <v>-253.0185174</v>
      </c>
      <c r="BX86" s="158" t="n">
        <v>-253.0185174</v>
      </c>
      <c r="BY86" s="158" t="n">
        <v>-253.0185174</v>
      </c>
      <c r="BZ86" s="158" t="n">
        <v>-258.078887748</v>
      </c>
      <c r="CA86" s="158" t="n">
        <v>-258.078887748</v>
      </c>
      <c r="CB86" s="158" t="n">
        <v>-258.078887748</v>
      </c>
      <c r="CC86" s="158" t="n">
        <v>-258.078887748</v>
      </c>
      <c r="CD86" s="158" t="n">
        <v>-258.078887748</v>
      </c>
      <c r="CE86" s="158" t="n">
        <v>-258.078887748</v>
      </c>
      <c r="CF86" s="158" t="n">
        <v>-258.078887748</v>
      </c>
      <c r="CG86" s="158" t="n">
        <v>-258.078887748</v>
      </c>
      <c r="CH86" s="158" t="n">
        <v>-258.078887748</v>
      </c>
      <c r="CI86" s="158" t="n">
        <v>-258.078887748</v>
      </c>
      <c r="CJ86" s="158" t="n">
        <v>-258.078887748</v>
      </c>
      <c r="CK86" s="158" t="n">
        <v>-258.078887748</v>
      </c>
      <c r="CL86" s="158" t="n">
        <v>-263.24046550296</v>
      </c>
      <c r="CM86" s="158" t="n">
        <v>-263.24046550296</v>
      </c>
      <c r="CN86" s="158" t="n">
        <v>-263.24046550296</v>
      </c>
      <c r="CO86" s="158" t="n">
        <v>-263.24046550296</v>
      </c>
      <c r="CP86" s="158" t="n">
        <v>-263.24046550296</v>
      </c>
      <c r="CQ86" s="158" t="n">
        <v>-263.24046550296</v>
      </c>
      <c r="CR86" s="158" t="n">
        <v>-263.24046550296</v>
      </c>
      <c r="CS86" s="158" t="n">
        <v>-263.24046550296</v>
      </c>
      <c r="CT86" s="158" t="n">
        <v>-263.24046550296</v>
      </c>
      <c r="CU86" s="158" t="n">
        <v>0</v>
      </c>
      <c r="CV86" s="158" t="n">
        <v>0</v>
      </c>
      <c r="CW86" s="158" t="n">
        <v>0</v>
      </c>
      <c r="CX86" s="158" t="n">
        <v>0</v>
      </c>
      <c r="CY86" s="158" t="n">
        <v>0</v>
      </c>
      <c r="CZ86" s="158" t="n">
        <v>0</v>
      </c>
      <c r="DA86" s="158" t="n">
        <v>0</v>
      </c>
      <c r="DB86" s="158" t="n">
        <v>0</v>
      </c>
      <c r="DC86" s="158" t="n">
        <v>0</v>
      </c>
      <c r="DD86" s="158" t="n">
        <v>0</v>
      </c>
      <c r="DE86" s="158" t="n">
        <v>0</v>
      </c>
      <c r="DF86" s="158" t="n">
        <v>0</v>
      </c>
    </row>
    <row r="87" customFormat="false" ht="15" hidden="false" customHeight="true" outlineLevel="0" collapsed="false">
      <c r="A87" s="90" t="s">
        <v>69</v>
      </c>
      <c r="C87" s="104" t="n">
        <v>-2200.12</v>
      </c>
      <c r="D87" s="104" t="n">
        <v>-2200.12</v>
      </c>
      <c r="E87" s="104" t="n">
        <v>-2200.12</v>
      </c>
      <c r="F87" s="158" t="n">
        <v>-57.2916666666667</v>
      </c>
      <c r="G87" s="158" t="n">
        <v>-57.2916666666667</v>
      </c>
      <c r="H87" s="158" t="n">
        <v>-57.2916666666667</v>
      </c>
      <c r="I87" s="158" t="n">
        <v>-57.2916666666667</v>
      </c>
      <c r="J87" s="158" t="n">
        <v>-57.2916666666667</v>
      </c>
      <c r="K87" s="158" t="n">
        <v>-57.2916666666667</v>
      </c>
      <c r="L87" s="158" t="n">
        <v>-57.2916666666667</v>
      </c>
      <c r="M87" s="158" t="n">
        <v>-57.2916666666667</v>
      </c>
      <c r="N87" s="158" t="n">
        <v>-57.2916666666667</v>
      </c>
      <c r="O87" s="158" t="n">
        <v>-57.2916666666667</v>
      </c>
      <c r="P87" s="158" t="n">
        <v>-57.2916666666667</v>
      </c>
      <c r="Q87" s="158" t="n">
        <v>-57.2916666666667</v>
      </c>
      <c r="R87" s="158" t="n">
        <v>-58.4375</v>
      </c>
      <c r="S87" s="158" t="n">
        <v>-58.4375</v>
      </c>
      <c r="T87" s="158" t="n">
        <v>-58.4375</v>
      </c>
      <c r="U87" s="158" t="n">
        <v>-58.4375</v>
      </c>
      <c r="V87" s="158" t="n">
        <v>-58.4375</v>
      </c>
      <c r="W87" s="158" t="n">
        <v>-58.4375</v>
      </c>
      <c r="X87" s="158" t="n">
        <v>-58.4375</v>
      </c>
      <c r="Y87" s="158" t="n">
        <v>-58.4375</v>
      </c>
      <c r="Z87" s="158" t="n">
        <v>-58.4375</v>
      </c>
      <c r="AA87" s="158" t="n">
        <v>-58.4375</v>
      </c>
      <c r="AB87" s="158" t="n">
        <v>-58.4375</v>
      </c>
      <c r="AC87" s="158" t="n">
        <v>-58.4375</v>
      </c>
      <c r="AD87" s="158" t="n">
        <v>-59.60625</v>
      </c>
      <c r="AE87" s="158" t="n">
        <v>-59.60625</v>
      </c>
      <c r="AF87" s="158" t="n">
        <v>-59.60625</v>
      </c>
      <c r="AG87" s="158" t="n">
        <v>-59.60625</v>
      </c>
      <c r="AH87" s="158" t="n">
        <v>-59.60625</v>
      </c>
      <c r="AI87" s="158" t="n">
        <v>-59.60625</v>
      </c>
      <c r="AJ87" s="158" t="n">
        <v>-59.60625</v>
      </c>
      <c r="AK87" s="158" t="n">
        <v>-59.60625</v>
      </c>
      <c r="AL87" s="158" t="n">
        <v>-59.60625</v>
      </c>
      <c r="AM87" s="158" t="n">
        <v>-59.60625</v>
      </c>
      <c r="AN87" s="158" t="n">
        <v>-59.60625</v>
      </c>
      <c r="AO87" s="158" t="n">
        <v>-59.60625</v>
      </c>
      <c r="AP87" s="158" t="n">
        <v>-60.798375</v>
      </c>
      <c r="AQ87" s="158" t="n">
        <v>-60.798375</v>
      </c>
      <c r="AR87" s="158" t="n">
        <v>-60.798375</v>
      </c>
      <c r="AS87" s="158" t="n">
        <v>-60.798375</v>
      </c>
      <c r="AT87" s="158" t="n">
        <v>-60.798375</v>
      </c>
      <c r="AU87" s="158" t="n">
        <v>-60.798375</v>
      </c>
      <c r="AV87" s="158" t="n">
        <v>-60.798375</v>
      </c>
      <c r="AW87" s="158" t="n">
        <v>-60.798375</v>
      </c>
      <c r="AX87" s="158" t="n">
        <v>-60.798375</v>
      </c>
      <c r="AY87" s="158" t="n">
        <v>-60.798375</v>
      </c>
      <c r="AZ87" s="158" t="n">
        <v>-60.798375</v>
      </c>
      <c r="BA87" s="158" t="n">
        <v>-60.798375</v>
      </c>
      <c r="BB87" s="158" t="n">
        <v>-62.0143425</v>
      </c>
      <c r="BC87" s="158" t="n">
        <v>-62.0143425</v>
      </c>
      <c r="BD87" s="158" t="n">
        <v>-62.0143425</v>
      </c>
      <c r="BE87" s="158" t="n">
        <v>-62.0143425</v>
      </c>
      <c r="BF87" s="158" t="n">
        <v>-62.0143425</v>
      </c>
      <c r="BG87" s="158" t="n">
        <v>-62.0143425</v>
      </c>
      <c r="BH87" s="158" t="n">
        <v>-62.0143425</v>
      </c>
      <c r="BI87" s="158" t="n">
        <v>-62.0143425</v>
      </c>
      <c r="BJ87" s="158" t="n">
        <v>-62.0143425</v>
      </c>
      <c r="BK87" s="158" t="n">
        <v>-62.0143425</v>
      </c>
      <c r="BL87" s="158" t="n">
        <v>-62.0143425</v>
      </c>
      <c r="BM87" s="158" t="n">
        <v>-62.0143425</v>
      </c>
      <c r="BN87" s="158" t="n">
        <v>-63.25462935</v>
      </c>
      <c r="BO87" s="158" t="n">
        <v>-63.25462935</v>
      </c>
      <c r="BP87" s="158" t="n">
        <v>-63.25462935</v>
      </c>
      <c r="BQ87" s="158" t="n">
        <v>-63.25462935</v>
      </c>
      <c r="BR87" s="158" t="n">
        <v>-63.25462935</v>
      </c>
      <c r="BS87" s="158" t="n">
        <v>-63.25462935</v>
      </c>
      <c r="BT87" s="158" t="n">
        <v>-63.25462935</v>
      </c>
      <c r="BU87" s="158" t="n">
        <v>-63.25462935</v>
      </c>
      <c r="BV87" s="158" t="n">
        <v>-63.25462935</v>
      </c>
      <c r="BW87" s="158" t="n">
        <v>-63.25462935</v>
      </c>
      <c r="BX87" s="158" t="n">
        <v>-63.25462935</v>
      </c>
      <c r="BY87" s="158" t="n">
        <v>-63.25462935</v>
      </c>
      <c r="BZ87" s="158" t="n">
        <v>-64.519721937</v>
      </c>
      <c r="CA87" s="158" t="n">
        <v>-64.519721937</v>
      </c>
      <c r="CB87" s="158" t="n">
        <v>-64.519721937</v>
      </c>
      <c r="CC87" s="158" t="n">
        <v>-64.519721937</v>
      </c>
      <c r="CD87" s="158" t="n">
        <v>-64.519721937</v>
      </c>
      <c r="CE87" s="158" t="n">
        <v>-64.519721937</v>
      </c>
      <c r="CF87" s="158" t="n">
        <v>-64.519721937</v>
      </c>
      <c r="CG87" s="158" t="n">
        <v>-64.519721937</v>
      </c>
      <c r="CH87" s="158" t="n">
        <v>-64.519721937</v>
      </c>
      <c r="CI87" s="158" t="n">
        <v>-64.519721937</v>
      </c>
      <c r="CJ87" s="158" t="n">
        <v>-64.519721937</v>
      </c>
      <c r="CK87" s="158" t="n">
        <v>-64.519721937</v>
      </c>
      <c r="CL87" s="158" t="n">
        <v>-65.81011637574</v>
      </c>
      <c r="CM87" s="158" t="n">
        <v>-65.81011637574</v>
      </c>
      <c r="CN87" s="158" t="n">
        <v>-65.81011637574</v>
      </c>
      <c r="CO87" s="158" t="n">
        <v>-65.81011637574</v>
      </c>
      <c r="CP87" s="158" t="n">
        <v>-65.81011637574</v>
      </c>
      <c r="CQ87" s="158" t="n">
        <v>-65.81011637574</v>
      </c>
      <c r="CR87" s="158" t="n">
        <v>-65.81011637574</v>
      </c>
      <c r="CS87" s="158" t="n">
        <v>-65.81011637574</v>
      </c>
      <c r="CT87" s="158" t="n">
        <v>-65.81011637574</v>
      </c>
      <c r="CU87" s="158" t="n">
        <v>0</v>
      </c>
      <c r="CV87" s="158" t="n">
        <v>0</v>
      </c>
      <c r="CW87" s="158" t="n">
        <v>0</v>
      </c>
      <c r="CX87" s="158" t="n">
        <v>0</v>
      </c>
      <c r="CY87" s="158" t="n">
        <v>0</v>
      </c>
      <c r="CZ87" s="158" t="n">
        <v>0</v>
      </c>
      <c r="DA87" s="158" t="n">
        <v>0</v>
      </c>
      <c r="DB87" s="158" t="n">
        <v>0</v>
      </c>
      <c r="DC87" s="158" t="n">
        <v>0</v>
      </c>
      <c r="DD87" s="158" t="n">
        <v>0</v>
      </c>
      <c r="DE87" s="158" t="n">
        <v>0</v>
      </c>
      <c r="DF87" s="158" t="n">
        <v>0</v>
      </c>
    </row>
    <row r="88" customFormat="false" ht="15" hidden="false" customHeight="true" outlineLevel="0" collapsed="false">
      <c r="A88" s="90" t="s">
        <v>72</v>
      </c>
      <c r="C88" s="104" t="n">
        <v>-8848.65</v>
      </c>
      <c r="D88" s="104" t="n">
        <v>-8817.63</v>
      </c>
      <c r="E88" s="104" t="n">
        <v>-3775.91</v>
      </c>
      <c r="F88" s="158" t="n">
        <v>-8500</v>
      </c>
      <c r="G88" s="158" t="n">
        <v>-8500</v>
      </c>
      <c r="H88" s="158" t="n">
        <v>-8500</v>
      </c>
      <c r="I88" s="158" t="n">
        <v>-8500</v>
      </c>
      <c r="J88" s="158" t="n">
        <v>-8500</v>
      </c>
      <c r="K88" s="158" t="n">
        <v>-8500</v>
      </c>
      <c r="L88" s="158" t="n">
        <v>-8500</v>
      </c>
      <c r="M88" s="158" t="n">
        <v>-8500</v>
      </c>
      <c r="N88" s="158" t="n">
        <v>-8500</v>
      </c>
      <c r="O88" s="158" t="n">
        <v>-8500</v>
      </c>
      <c r="P88" s="158" t="n">
        <v>-8500</v>
      </c>
      <c r="Q88" s="158" t="n">
        <v>-8500</v>
      </c>
      <c r="R88" s="158" t="n">
        <v>-8670</v>
      </c>
      <c r="S88" s="158" t="n">
        <v>-8670</v>
      </c>
      <c r="T88" s="158" t="n">
        <v>-8670</v>
      </c>
      <c r="U88" s="158" t="n">
        <v>-8670</v>
      </c>
      <c r="V88" s="158" t="n">
        <v>-8670</v>
      </c>
      <c r="W88" s="158" t="n">
        <v>-8670</v>
      </c>
      <c r="X88" s="158" t="n">
        <v>-8670</v>
      </c>
      <c r="Y88" s="158" t="n">
        <v>-8670</v>
      </c>
      <c r="Z88" s="158" t="n">
        <v>-8670</v>
      </c>
      <c r="AA88" s="158" t="n">
        <v>-8670</v>
      </c>
      <c r="AB88" s="158" t="n">
        <v>-8670</v>
      </c>
      <c r="AC88" s="158" t="n">
        <v>-8670</v>
      </c>
      <c r="AD88" s="158" t="n">
        <v>-8843.4</v>
      </c>
      <c r="AE88" s="158" t="n">
        <v>-8843.4</v>
      </c>
      <c r="AF88" s="158" t="n">
        <v>-8843.4</v>
      </c>
      <c r="AG88" s="158" t="n">
        <v>-8843.4</v>
      </c>
      <c r="AH88" s="158" t="n">
        <v>-8843.4</v>
      </c>
      <c r="AI88" s="158" t="n">
        <v>-8843.4</v>
      </c>
      <c r="AJ88" s="158" t="n">
        <v>-8843.4</v>
      </c>
      <c r="AK88" s="158" t="n">
        <v>-8843.4</v>
      </c>
      <c r="AL88" s="158" t="n">
        <v>-8843.4</v>
      </c>
      <c r="AM88" s="158" t="n">
        <v>-8843.4</v>
      </c>
      <c r="AN88" s="158" t="n">
        <v>-8843.4</v>
      </c>
      <c r="AO88" s="158" t="n">
        <v>-8843.4</v>
      </c>
      <c r="AP88" s="158" t="n">
        <v>-9020.268</v>
      </c>
      <c r="AQ88" s="158" t="n">
        <v>-9020.268</v>
      </c>
      <c r="AR88" s="158" t="n">
        <v>-9020.268</v>
      </c>
      <c r="AS88" s="158" t="n">
        <v>-9020.268</v>
      </c>
      <c r="AT88" s="158" t="n">
        <v>-9020.268</v>
      </c>
      <c r="AU88" s="158" t="n">
        <v>-9020.268</v>
      </c>
      <c r="AV88" s="158" t="n">
        <v>-9020.268</v>
      </c>
      <c r="AW88" s="158" t="n">
        <v>-9020.268</v>
      </c>
      <c r="AX88" s="158" t="n">
        <v>-9020.268</v>
      </c>
      <c r="AY88" s="158" t="n">
        <v>-9020.268</v>
      </c>
      <c r="AZ88" s="158" t="n">
        <v>-9020.268</v>
      </c>
      <c r="BA88" s="158" t="n">
        <v>-9020.268</v>
      </c>
      <c r="BB88" s="158" t="n">
        <v>-9200.67336</v>
      </c>
      <c r="BC88" s="158" t="n">
        <v>-9200.67336</v>
      </c>
      <c r="BD88" s="158" t="n">
        <v>-9200.67336</v>
      </c>
      <c r="BE88" s="158" t="n">
        <v>-9200.67336</v>
      </c>
      <c r="BF88" s="158" t="n">
        <v>-9200.67336</v>
      </c>
      <c r="BG88" s="158" t="n">
        <v>-9200.67336</v>
      </c>
      <c r="BH88" s="158" t="n">
        <v>-9200.67336</v>
      </c>
      <c r="BI88" s="158" t="n">
        <v>-9200.67336</v>
      </c>
      <c r="BJ88" s="158" t="n">
        <v>-9200.67336</v>
      </c>
      <c r="BK88" s="158" t="n">
        <v>-9200.67336</v>
      </c>
      <c r="BL88" s="158" t="n">
        <v>-9200.67336</v>
      </c>
      <c r="BM88" s="158" t="n">
        <v>-9200.67336</v>
      </c>
      <c r="BN88" s="158" t="n">
        <v>-9384.6868272</v>
      </c>
      <c r="BO88" s="158" t="n">
        <v>-9384.6868272</v>
      </c>
      <c r="BP88" s="158" t="n">
        <v>-9384.6868272</v>
      </c>
      <c r="BQ88" s="158" t="n">
        <v>-9384.6868272</v>
      </c>
      <c r="BR88" s="158" t="n">
        <v>-9384.6868272</v>
      </c>
      <c r="BS88" s="158" t="n">
        <v>-9384.6868272</v>
      </c>
      <c r="BT88" s="158" t="n">
        <v>-9384.6868272</v>
      </c>
      <c r="BU88" s="158" t="n">
        <v>-9384.6868272</v>
      </c>
      <c r="BV88" s="158" t="n">
        <v>-9384.6868272</v>
      </c>
      <c r="BW88" s="158" t="n">
        <v>-9384.6868272</v>
      </c>
      <c r="BX88" s="158" t="n">
        <v>-9384.6868272</v>
      </c>
      <c r="BY88" s="158" t="n">
        <v>-9384.6868272</v>
      </c>
      <c r="BZ88" s="158" t="n">
        <v>-9572.380563744</v>
      </c>
      <c r="CA88" s="158" t="n">
        <v>-9572.380563744</v>
      </c>
      <c r="CB88" s="158" t="n">
        <v>-9572.380563744</v>
      </c>
      <c r="CC88" s="158" t="n">
        <v>-9572.380563744</v>
      </c>
      <c r="CD88" s="158" t="n">
        <v>-9572.380563744</v>
      </c>
      <c r="CE88" s="158" t="n">
        <v>-9572.380563744</v>
      </c>
      <c r="CF88" s="158" t="n">
        <v>-9572.380563744</v>
      </c>
      <c r="CG88" s="158" t="n">
        <v>-9572.380563744</v>
      </c>
      <c r="CH88" s="158" t="n">
        <v>-9572.380563744</v>
      </c>
      <c r="CI88" s="158" t="n">
        <v>-9572.380563744</v>
      </c>
      <c r="CJ88" s="158" t="n">
        <v>-9572.380563744</v>
      </c>
      <c r="CK88" s="158" t="n">
        <v>-9572.380563744</v>
      </c>
      <c r="CL88" s="158" t="n">
        <v>-9763.82817501888</v>
      </c>
      <c r="CM88" s="158" t="n">
        <v>-9763.82817501888</v>
      </c>
      <c r="CN88" s="158" t="n">
        <v>-9763.82817501888</v>
      </c>
      <c r="CO88" s="158" t="n">
        <v>-9763.82817501888</v>
      </c>
      <c r="CP88" s="158" t="n">
        <v>-9763.82817501888</v>
      </c>
      <c r="CQ88" s="158" t="n">
        <v>-9763.82817501888</v>
      </c>
      <c r="CR88" s="158" t="n">
        <v>-9763.82817501888</v>
      </c>
      <c r="CS88" s="158" t="n">
        <v>-9763.82817501888</v>
      </c>
      <c r="CT88" s="158" t="n">
        <v>-9763.82817501888</v>
      </c>
      <c r="CU88" s="158" t="n">
        <v>-9763.82817501888</v>
      </c>
      <c r="CV88" s="158" t="n">
        <v>-9763.82817501888</v>
      </c>
      <c r="CW88" s="158" t="n">
        <v>-9763.82817501888</v>
      </c>
      <c r="CX88" s="158" t="n">
        <v>-9959.10473851926</v>
      </c>
      <c r="CY88" s="158" t="n">
        <v>-9959.10473851926</v>
      </c>
      <c r="CZ88" s="158" t="n">
        <v>-9959.10473851926</v>
      </c>
      <c r="DA88" s="158" t="n">
        <v>-9959.10473851926</v>
      </c>
      <c r="DB88" s="158" t="n">
        <v>-9959.10473851926</v>
      </c>
      <c r="DC88" s="158" t="n">
        <v>-9959.10473851926</v>
      </c>
      <c r="DD88" s="158" t="n">
        <v>-9959.10473851926</v>
      </c>
      <c r="DE88" s="158" t="n">
        <v>-9959.10473851926</v>
      </c>
      <c r="DF88" s="158" t="n">
        <v>-9959.10473851926</v>
      </c>
    </row>
    <row r="89" customFormat="false" ht="15" hidden="false" customHeight="true" outlineLevel="0" collapsed="false">
      <c r="A89" s="90" t="s">
        <v>73</v>
      </c>
      <c r="C89" s="104" t="n">
        <v>-1722.9</v>
      </c>
      <c r="D89" s="104" t="n">
        <v>0</v>
      </c>
      <c r="E89" s="104" t="n">
        <v>-28.51</v>
      </c>
      <c r="F89" s="158" t="n">
        <v>-583.8</v>
      </c>
      <c r="G89" s="158" t="n">
        <v>-583.8</v>
      </c>
      <c r="H89" s="158" t="n">
        <v>-583.8</v>
      </c>
      <c r="I89" s="158" t="n">
        <v>-583.8</v>
      </c>
      <c r="J89" s="158" t="n">
        <v>-583.8</v>
      </c>
      <c r="K89" s="158" t="n">
        <v>-583.8</v>
      </c>
      <c r="L89" s="158" t="n">
        <v>-583.8</v>
      </c>
      <c r="M89" s="158" t="n">
        <v>-583.8</v>
      </c>
      <c r="N89" s="158" t="n">
        <v>-583.8</v>
      </c>
      <c r="O89" s="158" t="n">
        <v>-583.8</v>
      </c>
      <c r="P89" s="158" t="n">
        <v>-583.8</v>
      </c>
      <c r="Q89" s="158" t="n">
        <v>-583.8</v>
      </c>
      <c r="R89" s="158" t="n">
        <v>-595.476</v>
      </c>
      <c r="S89" s="158" t="n">
        <v>-595.476</v>
      </c>
      <c r="T89" s="158" t="n">
        <v>-595.476</v>
      </c>
      <c r="U89" s="158" t="n">
        <v>-595.476</v>
      </c>
      <c r="V89" s="158" t="n">
        <v>-595.476</v>
      </c>
      <c r="W89" s="158" t="n">
        <v>-595.476</v>
      </c>
      <c r="X89" s="158" t="n">
        <v>-595.476</v>
      </c>
      <c r="Y89" s="158" t="n">
        <v>-595.476</v>
      </c>
      <c r="Z89" s="158" t="n">
        <v>-595.476</v>
      </c>
      <c r="AA89" s="158" t="n">
        <v>-595.476</v>
      </c>
      <c r="AB89" s="158" t="n">
        <v>-595.476</v>
      </c>
      <c r="AC89" s="158" t="n">
        <v>-595.476</v>
      </c>
      <c r="AD89" s="158" t="n">
        <v>-607.38552</v>
      </c>
      <c r="AE89" s="158" t="n">
        <v>-607.38552</v>
      </c>
      <c r="AF89" s="158" t="n">
        <v>-607.38552</v>
      </c>
      <c r="AG89" s="158" t="n">
        <v>-607.38552</v>
      </c>
      <c r="AH89" s="158" t="n">
        <v>-607.38552</v>
      </c>
      <c r="AI89" s="158" t="n">
        <v>-607.38552</v>
      </c>
      <c r="AJ89" s="158" t="n">
        <v>-607.38552</v>
      </c>
      <c r="AK89" s="158" t="n">
        <v>-607.38552</v>
      </c>
      <c r="AL89" s="158" t="n">
        <v>-607.38552</v>
      </c>
      <c r="AM89" s="158" t="n">
        <v>-607.38552</v>
      </c>
      <c r="AN89" s="158" t="n">
        <v>-607.38552</v>
      </c>
      <c r="AO89" s="158" t="n">
        <v>-607.38552</v>
      </c>
      <c r="AP89" s="158" t="n">
        <v>-619.5332304</v>
      </c>
      <c r="AQ89" s="158" t="n">
        <v>-619.5332304</v>
      </c>
      <c r="AR89" s="158" t="n">
        <v>-619.5332304</v>
      </c>
      <c r="AS89" s="158" t="n">
        <v>-619.5332304</v>
      </c>
      <c r="AT89" s="158" t="n">
        <v>-619.5332304</v>
      </c>
      <c r="AU89" s="158" t="n">
        <v>-619.5332304</v>
      </c>
      <c r="AV89" s="158" t="n">
        <v>-619.5332304</v>
      </c>
      <c r="AW89" s="158" t="n">
        <v>-619.5332304</v>
      </c>
      <c r="AX89" s="158" t="n">
        <v>-619.5332304</v>
      </c>
      <c r="AY89" s="158" t="n">
        <v>-619.5332304</v>
      </c>
      <c r="AZ89" s="158" t="n">
        <v>-619.5332304</v>
      </c>
      <c r="BA89" s="158" t="n">
        <v>-619.5332304</v>
      </c>
      <c r="BB89" s="158" t="n">
        <v>-631.923895008</v>
      </c>
      <c r="BC89" s="158" t="n">
        <v>-631.923895008</v>
      </c>
      <c r="BD89" s="158" t="n">
        <v>-631.923895008</v>
      </c>
      <c r="BE89" s="158" t="n">
        <v>-631.923895008</v>
      </c>
      <c r="BF89" s="158" t="n">
        <v>-631.923895008</v>
      </c>
      <c r="BG89" s="158" t="n">
        <v>-631.923895008</v>
      </c>
      <c r="BH89" s="158" t="n">
        <v>-631.923895008</v>
      </c>
      <c r="BI89" s="158" t="n">
        <v>-631.923895008</v>
      </c>
      <c r="BJ89" s="158" t="n">
        <v>-631.923895008</v>
      </c>
      <c r="BK89" s="158" t="n">
        <v>-631.923895008</v>
      </c>
      <c r="BL89" s="158" t="n">
        <v>-631.923895008</v>
      </c>
      <c r="BM89" s="158" t="n">
        <v>-631.923895008</v>
      </c>
      <c r="BN89" s="158" t="n">
        <v>-644.56237290816</v>
      </c>
      <c r="BO89" s="158" t="n">
        <v>-644.56237290816</v>
      </c>
      <c r="BP89" s="158" t="n">
        <v>-644.56237290816</v>
      </c>
      <c r="BQ89" s="158" t="n">
        <v>-644.56237290816</v>
      </c>
      <c r="BR89" s="158" t="n">
        <v>-644.56237290816</v>
      </c>
      <c r="BS89" s="158" t="n">
        <v>-644.56237290816</v>
      </c>
      <c r="BT89" s="158" t="n">
        <v>-644.56237290816</v>
      </c>
      <c r="BU89" s="158" t="n">
        <v>-644.56237290816</v>
      </c>
      <c r="BV89" s="158" t="n">
        <v>-644.56237290816</v>
      </c>
      <c r="BW89" s="158" t="n">
        <v>-644.56237290816</v>
      </c>
      <c r="BX89" s="158" t="n">
        <v>-644.56237290816</v>
      </c>
      <c r="BY89" s="158" t="n">
        <v>-644.56237290816</v>
      </c>
      <c r="BZ89" s="158" t="n">
        <v>-657.453620366323</v>
      </c>
      <c r="CA89" s="158" t="n">
        <v>-657.453620366323</v>
      </c>
      <c r="CB89" s="158" t="n">
        <v>-657.453620366323</v>
      </c>
      <c r="CC89" s="158" t="n">
        <v>-657.453620366323</v>
      </c>
      <c r="CD89" s="158" t="n">
        <v>-657.453620366323</v>
      </c>
      <c r="CE89" s="158" t="n">
        <v>-657.453620366323</v>
      </c>
      <c r="CF89" s="158" t="n">
        <v>-657.453620366323</v>
      </c>
      <c r="CG89" s="158" t="n">
        <v>-657.453620366323</v>
      </c>
      <c r="CH89" s="158" t="n">
        <v>-657.453620366323</v>
      </c>
      <c r="CI89" s="158" t="n">
        <v>-657.453620366323</v>
      </c>
      <c r="CJ89" s="158" t="n">
        <v>-657.453620366323</v>
      </c>
      <c r="CK89" s="158" t="n">
        <v>-657.453620366323</v>
      </c>
      <c r="CL89" s="158" t="n">
        <v>-670.60269277365</v>
      </c>
      <c r="CM89" s="158" t="n">
        <v>-670.60269277365</v>
      </c>
      <c r="CN89" s="158" t="n">
        <v>-670.60269277365</v>
      </c>
      <c r="CO89" s="158" t="n">
        <v>-670.60269277365</v>
      </c>
      <c r="CP89" s="158" t="n">
        <v>-670.60269277365</v>
      </c>
      <c r="CQ89" s="158" t="n">
        <v>-670.60269277365</v>
      </c>
      <c r="CR89" s="158" t="n">
        <v>-670.60269277365</v>
      </c>
      <c r="CS89" s="158" t="n">
        <v>-670.60269277365</v>
      </c>
      <c r="CT89" s="158" t="n">
        <v>-670.60269277365</v>
      </c>
      <c r="CU89" s="158" t="n">
        <v>-670.60269277365</v>
      </c>
      <c r="CV89" s="158" t="n">
        <v>-670.60269277365</v>
      </c>
      <c r="CW89" s="158" t="n">
        <v>-670.60269277365</v>
      </c>
      <c r="CX89" s="158" t="n">
        <v>-684.014746629123</v>
      </c>
      <c r="CY89" s="158" t="n">
        <v>-684.014746629123</v>
      </c>
      <c r="CZ89" s="158" t="n">
        <v>-684.014746629123</v>
      </c>
      <c r="DA89" s="158" t="n">
        <v>-684.014746629123</v>
      </c>
      <c r="DB89" s="158" t="n">
        <v>-684.014746629123</v>
      </c>
      <c r="DC89" s="158" t="n">
        <v>-684.014746629123</v>
      </c>
      <c r="DD89" s="158" t="n">
        <v>-684.014746629123</v>
      </c>
      <c r="DE89" s="158" t="n">
        <v>-684.014746629123</v>
      </c>
      <c r="DF89" s="158" t="n">
        <v>-684.014746629123</v>
      </c>
    </row>
    <row r="90" customFormat="false" ht="15" hidden="false" customHeight="true" outlineLevel="0" collapsed="false">
      <c r="A90" s="90" t="s">
        <v>124</v>
      </c>
      <c r="C90" s="162" t="n">
        <v>-246.85</v>
      </c>
      <c r="D90" s="162" t="n">
        <v>0</v>
      </c>
      <c r="E90" s="162" t="n">
        <v>-4246.73</v>
      </c>
      <c r="F90" s="158" t="n">
        <v>-1497.86</v>
      </c>
      <c r="G90" s="158" t="n">
        <v>-1497.86</v>
      </c>
      <c r="H90" s="158" t="n">
        <v>-1497.86</v>
      </c>
      <c r="I90" s="158" t="n">
        <v>-1497.86</v>
      </c>
      <c r="J90" s="158" t="n">
        <v>-1497.86</v>
      </c>
      <c r="K90" s="158" t="n">
        <v>-1497.86</v>
      </c>
      <c r="L90" s="158" t="n">
        <v>-1497.86</v>
      </c>
      <c r="M90" s="158" t="n">
        <v>-1497.86</v>
      </c>
      <c r="N90" s="158" t="n">
        <v>-1497.86</v>
      </c>
      <c r="O90" s="158" t="n">
        <v>-1497.86</v>
      </c>
      <c r="P90" s="158" t="n">
        <v>-1497.86</v>
      </c>
      <c r="Q90" s="158" t="n">
        <v>-1497.86</v>
      </c>
      <c r="R90" s="158" t="n">
        <v>-1527.8172</v>
      </c>
      <c r="S90" s="158" t="n">
        <v>-1527.8172</v>
      </c>
      <c r="T90" s="158" t="n">
        <v>-1527.8172</v>
      </c>
      <c r="U90" s="158" t="n">
        <v>-1527.8172</v>
      </c>
      <c r="V90" s="158" t="n">
        <v>-1527.8172</v>
      </c>
      <c r="W90" s="158" t="n">
        <v>-1527.8172</v>
      </c>
      <c r="X90" s="158" t="n">
        <v>-1527.8172</v>
      </c>
      <c r="Y90" s="158" t="n">
        <v>-1527.8172</v>
      </c>
      <c r="Z90" s="158" t="n">
        <v>-1527.8172</v>
      </c>
      <c r="AA90" s="158" t="n">
        <v>-1527.8172</v>
      </c>
      <c r="AB90" s="158" t="n">
        <v>-1527.8172</v>
      </c>
      <c r="AC90" s="158" t="n">
        <v>-1527.8172</v>
      </c>
      <c r="AD90" s="158" t="n">
        <v>-1558.373544</v>
      </c>
      <c r="AE90" s="158" t="n">
        <v>-1558.373544</v>
      </c>
      <c r="AF90" s="158" t="n">
        <v>-1558.373544</v>
      </c>
      <c r="AG90" s="158" t="n">
        <v>-1558.373544</v>
      </c>
      <c r="AH90" s="158" t="n">
        <v>-1558.373544</v>
      </c>
      <c r="AI90" s="158" t="n">
        <v>-1558.373544</v>
      </c>
      <c r="AJ90" s="158" t="n">
        <v>-1558.373544</v>
      </c>
      <c r="AK90" s="158" t="n">
        <v>-1558.373544</v>
      </c>
      <c r="AL90" s="158" t="n">
        <v>-1558.373544</v>
      </c>
      <c r="AM90" s="158" t="n">
        <v>-1558.373544</v>
      </c>
      <c r="AN90" s="158" t="n">
        <v>-1558.373544</v>
      </c>
      <c r="AO90" s="158" t="n">
        <v>-1558.373544</v>
      </c>
      <c r="AP90" s="158" t="n">
        <v>-1589.54101488</v>
      </c>
      <c r="AQ90" s="158" t="n">
        <v>-1589.54101488</v>
      </c>
      <c r="AR90" s="158" t="n">
        <v>-1589.54101488</v>
      </c>
      <c r="AS90" s="158" t="n">
        <v>-1589.54101488</v>
      </c>
      <c r="AT90" s="158" t="n">
        <v>-1589.54101488</v>
      </c>
      <c r="AU90" s="158" t="n">
        <v>-1589.54101488</v>
      </c>
      <c r="AV90" s="158" t="n">
        <v>-1589.54101488</v>
      </c>
      <c r="AW90" s="158" t="n">
        <v>-1589.54101488</v>
      </c>
      <c r="AX90" s="158" t="n">
        <v>-1589.54101488</v>
      </c>
      <c r="AY90" s="158" t="n">
        <v>-1589.54101488</v>
      </c>
      <c r="AZ90" s="158" t="n">
        <v>-1589.54101488</v>
      </c>
      <c r="BA90" s="158" t="n">
        <v>-1589.54101488</v>
      </c>
      <c r="BB90" s="158" t="n">
        <v>-1621.3318351776</v>
      </c>
      <c r="BC90" s="158" t="n">
        <v>-1621.3318351776</v>
      </c>
      <c r="BD90" s="158" t="n">
        <v>-1621.3318351776</v>
      </c>
      <c r="BE90" s="158" t="n">
        <v>-1621.3318351776</v>
      </c>
      <c r="BF90" s="158" t="n">
        <v>-1621.3318351776</v>
      </c>
      <c r="BG90" s="158" t="n">
        <v>-1621.3318351776</v>
      </c>
      <c r="BH90" s="158" t="n">
        <v>-1621.3318351776</v>
      </c>
      <c r="BI90" s="158" t="n">
        <v>-1621.3318351776</v>
      </c>
      <c r="BJ90" s="158" t="n">
        <v>-1621.3318351776</v>
      </c>
      <c r="BK90" s="158" t="n">
        <v>-1621.3318351776</v>
      </c>
      <c r="BL90" s="158" t="n">
        <v>-1621.3318351776</v>
      </c>
      <c r="BM90" s="158" t="n">
        <v>-1621.3318351776</v>
      </c>
      <c r="BN90" s="158" t="n">
        <v>-1653.75847188115</v>
      </c>
      <c r="BO90" s="158" t="n">
        <v>-1653.75847188115</v>
      </c>
      <c r="BP90" s="158" t="n">
        <v>-1653.75847188115</v>
      </c>
      <c r="BQ90" s="158" t="n">
        <v>-1653.75847188115</v>
      </c>
      <c r="BR90" s="158" t="n">
        <v>-1653.75847188115</v>
      </c>
      <c r="BS90" s="158" t="n">
        <v>-1653.75847188115</v>
      </c>
      <c r="BT90" s="158" t="n">
        <v>-1653.75847188115</v>
      </c>
      <c r="BU90" s="158" t="n">
        <v>-1653.75847188115</v>
      </c>
      <c r="BV90" s="158" t="n">
        <v>-1653.75847188115</v>
      </c>
      <c r="BW90" s="158" t="n">
        <v>-1653.75847188115</v>
      </c>
      <c r="BX90" s="158" t="n">
        <v>-1653.75847188115</v>
      </c>
      <c r="BY90" s="158" t="n">
        <v>-1653.75847188115</v>
      </c>
      <c r="BZ90" s="158" t="n">
        <v>-1686.83364131878</v>
      </c>
      <c r="CA90" s="158" t="n">
        <v>-1686.83364131878</v>
      </c>
      <c r="CB90" s="158" t="n">
        <v>-1686.83364131878</v>
      </c>
      <c r="CC90" s="158" t="n">
        <v>-1686.83364131878</v>
      </c>
      <c r="CD90" s="158" t="n">
        <v>-1686.83364131878</v>
      </c>
      <c r="CE90" s="158" t="n">
        <v>-1686.83364131878</v>
      </c>
      <c r="CF90" s="158" t="n">
        <v>-1686.83364131878</v>
      </c>
      <c r="CG90" s="158" t="n">
        <v>-1686.83364131878</v>
      </c>
      <c r="CH90" s="158" t="n">
        <v>-1686.83364131878</v>
      </c>
      <c r="CI90" s="158" t="n">
        <v>-1686.83364131878</v>
      </c>
      <c r="CJ90" s="158" t="n">
        <v>-1686.83364131878</v>
      </c>
      <c r="CK90" s="158" t="n">
        <v>-1686.83364131878</v>
      </c>
      <c r="CL90" s="158" t="n">
        <v>-1720.57031414515</v>
      </c>
      <c r="CM90" s="158" t="n">
        <v>-1720.57031414515</v>
      </c>
      <c r="CN90" s="158" t="n">
        <v>-1720.57031414515</v>
      </c>
      <c r="CO90" s="158" t="n">
        <v>-1720.57031414515</v>
      </c>
      <c r="CP90" s="158" t="n">
        <v>-1720.57031414515</v>
      </c>
      <c r="CQ90" s="158" t="n">
        <v>-1720.57031414515</v>
      </c>
      <c r="CR90" s="158" t="n">
        <v>-1720.57031414515</v>
      </c>
      <c r="CS90" s="158" t="n">
        <v>-1720.57031414515</v>
      </c>
      <c r="CT90" s="158" t="n">
        <v>-1720.57031414515</v>
      </c>
      <c r="CU90" s="158" t="n">
        <v>-1720.57031414515</v>
      </c>
      <c r="CV90" s="158" t="n">
        <v>-1720.57031414515</v>
      </c>
      <c r="CW90" s="158" t="n">
        <v>-1720.57031414515</v>
      </c>
      <c r="CX90" s="158" t="n">
        <v>-1754.98172042805</v>
      </c>
      <c r="CY90" s="158" t="n">
        <v>-1754.98172042805</v>
      </c>
      <c r="CZ90" s="158" t="n">
        <v>-1754.98172042805</v>
      </c>
      <c r="DA90" s="158" t="n">
        <v>-1754.98172042805</v>
      </c>
      <c r="DB90" s="158" t="n">
        <v>-1754.98172042805</v>
      </c>
      <c r="DC90" s="158" t="n">
        <v>-1754.98172042805</v>
      </c>
      <c r="DD90" s="158" t="n">
        <v>-1754.98172042805</v>
      </c>
      <c r="DE90" s="158" t="n">
        <v>-1754.98172042805</v>
      </c>
      <c r="DF90" s="158" t="n">
        <v>-1754.98172042805</v>
      </c>
    </row>
    <row r="91" customFormat="false" ht="15" hidden="false" customHeight="true" outlineLevel="0" collapsed="false">
      <c r="A91" s="90" t="s">
        <v>125</v>
      </c>
      <c r="C91" s="104" t="n">
        <v>0</v>
      </c>
      <c r="D91" s="104" t="n">
        <v>0</v>
      </c>
      <c r="E91" s="104" t="n">
        <v>-870</v>
      </c>
      <c r="F91" s="158" t="n">
        <v>-290</v>
      </c>
      <c r="G91" s="158" t="n">
        <v>-290</v>
      </c>
      <c r="H91" s="158" t="n">
        <v>-290</v>
      </c>
      <c r="I91" s="158" t="n">
        <v>-290</v>
      </c>
      <c r="J91" s="158" t="n">
        <v>-290</v>
      </c>
      <c r="K91" s="158" t="n">
        <v>-290</v>
      </c>
      <c r="L91" s="158" t="n">
        <v>-290</v>
      </c>
      <c r="M91" s="158" t="n">
        <v>-290</v>
      </c>
      <c r="N91" s="158" t="n">
        <v>-290</v>
      </c>
      <c r="O91" s="158" t="n">
        <v>-290</v>
      </c>
      <c r="P91" s="158" t="n">
        <v>-290</v>
      </c>
      <c r="Q91" s="158" t="n">
        <v>-290</v>
      </c>
      <c r="R91" s="158" t="n">
        <v>-295.8</v>
      </c>
      <c r="S91" s="158" t="n">
        <v>-295.8</v>
      </c>
      <c r="T91" s="158" t="n">
        <v>-295.8</v>
      </c>
      <c r="U91" s="158" t="n">
        <v>-295.8</v>
      </c>
      <c r="V91" s="158" t="n">
        <v>-295.8</v>
      </c>
      <c r="W91" s="158" t="n">
        <v>-295.8</v>
      </c>
      <c r="X91" s="158" t="n">
        <v>-295.8</v>
      </c>
      <c r="Y91" s="158" t="n">
        <v>-295.8</v>
      </c>
      <c r="Z91" s="158" t="n">
        <v>-295.8</v>
      </c>
      <c r="AA91" s="158" t="n">
        <v>-295.8</v>
      </c>
      <c r="AB91" s="158" t="n">
        <v>-295.8</v>
      </c>
      <c r="AC91" s="158" t="n">
        <v>-295.8</v>
      </c>
      <c r="AD91" s="158" t="n">
        <v>-301.716</v>
      </c>
      <c r="AE91" s="158" t="n">
        <v>-301.716</v>
      </c>
      <c r="AF91" s="158" t="n">
        <v>-301.716</v>
      </c>
      <c r="AG91" s="158" t="n">
        <v>-301.716</v>
      </c>
      <c r="AH91" s="158" t="n">
        <v>-301.716</v>
      </c>
      <c r="AI91" s="158" t="n">
        <v>-301.716</v>
      </c>
      <c r="AJ91" s="158" t="n">
        <v>-301.716</v>
      </c>
      <c r="AK91" s="158" t="n">
        <v>-301.716</v>
      </c>
      <c r="AL91" s="158" t="n">
        <v>-301.716</v>
      </c>
      <c r="AM91" s="158" t="n">
        <v>-301.716</v>
      </c>
      <c r="AN91" s="158" t="n">
        <v>-301.716</v>
      </c>
      <c r="AO91" s="158" t="n">
        <v>-301.716</v>
      </c>
      <c r="AP91" s="158" t="n">
        <v>-307.75032</v>
      </c>
      <c r="AQ91" s="158" t="n">
        <v>-307.75032</v>
      </c>
      <c r="AR91" s="158" t="n">
        <v>-307.75032</v>
      </c>
      <c r="AS91" s="158" t="n">
        <v>-307.75032</v>
      </c>
      <c r="AT91" s="158" t="n">
        <v>-307.75032</v>
      </c>
      <c r="AU91" s="158" t="n">
        <v>-307.75032</v>
      </c>
      <c r="AV91" s="158" t="n">
        <v>-307.75032</v>
      </c>
      <c r="AW91" s="158" t="n">
        <v>-307.75032</v>
      </c>
      <c r="AX91" s="158" t="n">
        <v>-307.75032</v>
      </c>
      <c r="AY91" s="158" t="n">
        <v>-307.75032</v>
      </c>
      <c r="AZ91" s="158" t="n">
        <v>-307.75032</v>
      </c>
      <c r="BA91" s="158" t="n">
        <v>-307.75032</v>
      </c>
      <c r="BB91" s="158" t="n">
        <v>-313.9053264</v>
      </c>
      <c r="BC91" s="158" t="n">
        <v>-313.9053264</v>
      </c>
      <c r="BD91" s="158" t="n">
        <v>-313.9053264</v>
      </c>
      <c r="BE91" s="158" t="n">
        <v>-313.9053264</v>
      </c>
      <c r="BF91" s="158" t="n">
        <v>-313.9053264</v>
      </c>
      <c r="BG91" s="158" t="n">
        <v>-313.9053264</v>
      </c>
      <c r="BH91" s="158" t="n">
        <v>-313.9053264</v>
      </c>
      <c r="BI91" s="158" t="n">
        <v>-313.9053264</v>
      </c>
      <c r="BJ91" s="158" t="n">
        <v>-313.9053264</v>
      </c>
      <c r="BK91" s="158" t="n">
        <v>-313.9053264</v>
      </c>
      <c r="BL91" s="158" t="n">
        <v>-313.9053264</v>
      </c>
      <c r="BM91" s="158" t="n">
        <v>-313.9053264</v>
      </c>
      <c r="BN91" s="158" t="n">
        <v>-320.183432928</v>
      </c>
      <c r="BO91" s="158" t="n">
        <v>-320.183432928</v>
      </c>
      <c r="BP91" s="158" t="n">
        <v>-320.183432928</v>
      </c>
      <c r="BQ91" s="158" t="n">
        <v>-320.183432928</v>
      </c>
      <c r="BR91" s="158" t="n">
        <v>-320.183432928</v>
      </c>
      <c r="BS91" s="158" t="n">
        <v>-320.183432928</v>
      </c>
      <c r="BT91" s="158" t="n">
        <v>-320.183432928</v>
      </c>
      <c r="BU91" s="158" t="n">
        <v>-320.183432928</v>
      </c>
      <c r="BV91" s="158" t="n">
        <v>-320.183432928</v>
      </c>
      <c r="BW91" s="158" t="n">
        <v>-320.183432928</v>
      </c>
      <c r="BX91" s="158" t="n">
        <v>-320.183432928</v>
      </c>
      <c r="BY91" s="158" t="n">
        <v>-320.183432928</v>
      </c>
      <c r="BZ91" s="158" t="n">
        <v>-326.58710158656</v>
      </c>
      <c r="CA91" s="158" t="n">
        <v>-326.58710158656</v>
      </c>
      <c r="CB91" s="158" t="n">
        <v>-326.58710158656</v>
      </c>
      <c r="CC91" s="158" t="n">
        <v>-326.58710158656</v>
      </c>
      <c r="CD91" s="158" t="n">
        <v>-326.58710158656</v>
      </c>
      <c r="CE91" s="158" t="n">
        <v>-326.58710158656</v>
      </c>
      <c r="CF91" s="158" t="n">
        <v>-326.58710158656</v>
      </c>
      <c r="CG91" s="158" t="n">
        <v>-326.58710158656</v>
      </c>
      <c r="CH91" s="158" t="n">
        <v>-326.58710158656</v>
      </c>
      <c r="CI91" s="158" t="n">
        <v>-326.58710158656</v>
      </c>
      <c r="CJ91" s="158" t="n">
        <v>-326.58710158656</v>
      </c>
      <c r="CK91" s="158" t="n">
        <v>-326.58710158656</v>
      </c>
      <c r="CL91" s="158" t="n">
        <v>-333.118843618291</v>
      </c>
      <c r="CM91" s="158" t="n">
        <v>-333.118843618291</v>
      </c>
      <c r="CN91" s="158" t="n">
        <v>-333.118843618291</v>
      </c>
      <c r="CO91" s="158" t="n">
        <v>-333.118843618291</v>
      </c>
      <c r="CP91" s="158" t="n">
        <v>-333.118843618291</v>
      </c>
      <c r="CQ91" s="158" t="n">
        <v>-333.118843618291</v>
      </c>
      <c r="CR91" s="158" t="n">
        <v>-333.118843618291</v>
      </c>
      <c r="CS91" s="158" t="n">
        <v>-333.118843618291</v>
      </c>
      <c r="CT91" s="158" t="n">
        <v>-333.118843618291</v>
      </c>
      <c r="CU91" s="158" t="n">
        <v>-333.118843618291</v>
      </c>
      <c r="CV91" s="158" t="n">
        <v>-333.118843618291</v>
      </c>
      <c r="CW91" s="158" t="n">
        <v>-333.118843618291</v>
      </c>
      <c r="CX91" s="158" t="n">
        <v>-339.781220490657</v>
      </c>
      <c r="CY91" s="158" t="n">
        <v>-339.781220490657</v>
      </c>
      <c r="CZ91" s="158" t="n">
        <v>-339.781220490657</v>
      </c>
      <c r="DA91" s="158" t="n">
        <v>-339.781220490657</v>
      </c>
      <c r="DB91" s="158" t="n">
        <v>-339.781220490657</v>
      </c>
      <c r="DC91" s="158" t="n">
        <v>-339.781220490657</v>
      </c>
      <c r="DD91" s="158" t="n">
        <v>-339.781220490657</v>
      </c>
      <c r="DE91" s="158" t="n">
        <v>-339.781220490657</v>
      </c>
      <c r="DF91" s="158" t="n">
        <v>-339.781220490657</v>
      </c>
    </row>
    <row r="92" customFormat="false" ht="15" hidden="false" customHeight="true" outlineLevel="0" collapsed="false">
      <c r="A92" s="99" t="s">
        <v>126</v>
      </c>
      <c r="C92" s="159" t="n">
        <v>-245</v>
      </c>
      <c r="D92" s="159" t="n">
        <v>-245</v>
      </c>
      <c r="E92" s="159" t="n">
        <v>-245</v>
      </c>
      <c r="F92" s="159" t="n">
        <v>-245</v>
      </c>
      <c r="G92" s="159" t="n">
        <v>-245</v>
      </c>
      <c r="H92" s="159" t="n">
        <v>-245</v>
      </c>
      <c r="I92" s="159" t="n">
        <v>-245</v>
      </c>
      <c r="J92" s="159" t="n">
        <v>-245</v>
      </c>
      <c r="K92" s="159" t="n">
        <v>-245</v>
      </c>
      <c r="L92" s="159" t="n">
        <v>-245</v>
      </c>
      <c r="M92" s="159" t="n">
        <v>-245</v>
      </c>
      <c r="N92" s="159" t="n">
        <v>-245</v>
      </c>
      <c r="O92" s="159" t="n">
        <v>-245</v>
      </c>
      <c r="P92" s="159" t="n">
        <v>-245</v>
      </c>
      <c r="Q92" s="159" t="n">
        <v>-245</v>
      </c>
      <c r="R92" s="159" t="n">
        <v>-249.9</v>
      </c>
      <c r="S92" s="159" t="n">
        <v>-249.9</v>
      </c>
      <c r="T92" s="159" t="n">
        <v>-249.9</v>
      </c>
      <c r="U92" s="159" t="n">
        <v>-249.9</v>
      </c>
      <c r="V92" s="159" t="n">
        <v>-249.9</v>
      </c>
      <c r="W92" s="159" t="n">
        <v>-249.9</v>
      </c>
      <c r="X92" s="159" t="n">
        <v>-249.9</v>
      </c>
      <c r="Y92" s="159" t="n">
        <v>-249.9</v>
      </c>
      <c r="Z92" s="159" t="n">
        <v>-249.9</v>
      </c>
      <c r="AA92" s="159" t="n">
        <v>-249.9</v>
      </c>
      <c r="AB92" s="159" t="n">
        <v>-249.9</v>
      </c>
      <c r="AC92" s="159" t="n">
        <v>-249.9</v>
      </c>
      <c r="AD92" s="159" t="n">
        <v>-254.898</v>
      </c>
      <c r="AE92" s="159" t="n">
        <v>-254.898</v>
      </c>
      <c r="AF92" s="159" t="n">
        <v>-254.898</v>
      </c>
      <c r="AG92" s="159" t="n">
        <v>-254.898</v>
      </c>
      <c r="AH92" s="159" t="n">
        <v>-254.898</v>
      </c>
      <c r="AI92" s="159" t="n">
        <v>-254.898</v>
      </c>
      <c r="AJ92" s="159" t="n">
        <v>-254.898</v>
      </c>
      <c r="AK92" s="159" t="n">
        <v>-254.898</v>
      </c>
      <c r="AL92" s="159" t="n">
        <v>-254.898</v>
      </c>
      <c r="AM92" s="159" t="n">
        <v>-254.898</v>
      </c>
      <c r="AN92" s="159" t="n">
        <v>-254.898</v>
      </c>
      <c r="AO92" s="159" t="n">
        <v>-254.898</v>
      </c>
      <c r="AP92" s="159" t="n">
        <v>-259.99596</v>
      </c>
      <c r="AQ92" s="159" t="n">
        <v>-259.99596</v>
      </c>
      <c r="AR92" s="159" t="n">
        <v>-259.99596</v>
      </c>
      <c r="AS92" s="159" t="n">
        <v>-259.99596</v>
      </c>
      <c r="AT92" s="159" t="n">
        <v>-259.99596</v>
      </c>
      <c r="AU92" s="159" t="n">
        <v>-259.99596</v>
      </c>
      <c r="AV92" s="159" t="n">
        <v>-259.99596</v>
      </c>
      <c r="AW92" s="159" t="n">
        <v>-259.99596</v>
      </c>
      <c r="AX92" s="159" t="n">
        <v>-259.99596</v>
      </c>
      <c r="AY92" s="159" t="n">
        <v>-259.99596</v>
      </c>
      <c r="AZ92" s="159" t="n">
        <v>-259.99596</v>
      </c>
      <c r="BA92" s="159" t="n">
        <v>-259.99596</v>
      </c>
      <c r="BB92" s="159" t="n">
        <v>-265.1958792</v>
      </c>
      <c r="BC92" s="159" t="n">
        <v>-265.1958792</v>
      </c>
      <c r="BD92" s="159" t="n">
        <v>-265.1958792</v>
      </c>
      <c r="BE92" s="159" t="n">
        <v>-265.1958792</v>
      </c>
      <c r="BF92" s="159" t="n">
        <v>-265.1958792</v>
      </c>
      <c r="BG92" s="159" t="n">
        <v>-265.1958792</v>
      </c>
      <c r="BH92" s="159" t="n">
        <v>-265.1958792</v>
      </c>
      <c r="BI92" s="159" t="n">
        <v>-265.1958792</v>
      </c>
      <c r="BJ92" s="159" t="n">
        <v>-265.1958792</v>
      </c>
      <c r="BK92" s="159" t="n">
        <v>-265.1958792</v>
      </c>
      <c r="BL92" s="159" t="n">
        <v>-265.1958792</v>
      </c>
      <c r="BM92" s="159" t="n">
        <v>-265.1958792</v>
      </c>
      <c r="BN92" s="159" t="n">
        <v>-270.499796784</v>
      </c>
      <c r="BO92" s="159" t="n">
        <v>-270.499796784</v>
      </c>
      <c r="BP92" s="159" t="n">
        <v>-270.499796784</v>
      </c>
      <c r="BQ92" s="159" t="n">
        <v>-270.499796784</v>
      </c>
      <c r="BR92" s="159" t="n">
        <v>-270.499796784</v>
      </c>
      <c r="BS92" s="159" t="n">
        <v>-270.499796784</v>
      </c>
      <c r="BT92" s="159" t="n">
        <v>-270.499796784</v>
      </c>
      <c r="BU92" s="159" t="n">
        <v>-270.499796784</v>
      </c>
      <c r="BV92" s="159" t="n">
        <v>-270.499796784</v>
      </c>
      <c r="BW92" s="159" t="n">
        <v>-270.499796784</v>
      </c>
      <c r="BX92" s="159" t="n">
        <v>-270.499796784</v>
      </c>
      <c r="BY92" s="159" t="n">
        <v>-270.499796784</v>
      </c>
      <c r="BZ92" s="159" t="n">
        <v>-275.90979271968</v>
      </c>
      <c r="CA92" s="159" t="n">
        <v>-275.90979271968</v>
      </c>
      <c r="CB92" s="159" t="n">
        <v>-275.90979271968</v>
      </c>
      <c r="CC92" s="159" t="n">
        <v>-275.90979271968</v>
      </c>
      <c r="CD92" s="159" t="n">
        <v>-275.90979271968</v>
      </c>
      <c r="CE92" s="159" t="n">
        <v>-275.90979271968</v>
      </c>
      <c r="CF92" s="159" t="n">
        <v>-275.90979271968</v>
      </c>
      <c r="CG92" s="159" t="n">
        <v>-275.90979271968</v>
      </c>
      <c r="CH92" s="159" t="n">
        <v>-275.90979271968</v>
      </c>
      <c r="CI92" s="159" t="n">
        <v>-275.90979271968</v>
      </c>
      <c r="CJ92" s="159" t="n">
        <v>-275.90979271968</v>
      </c>
      <c r="CK92" s="159" t="n">
        <v>-275.90979271968</v>
      </c>
      <c r="CL92" s="159" t="n">
        <v>-281.427988574074</v>
      </c>
      <c r="CM92" s="159" t="n">
        <v>-281.427988574074</v>
      </c>
      <c r="CN92" s="159" t="n">
        <v>-281.427988574074</v>
      </c>
      <c r="CO92" s="159" t="n">
        <v>-281.427988574074</v>
      </c>
      <c r="CP92" s="159" t="n">
        <v>-281.427988574074</v>
      </c>
      <c r="CQ92" s="159" t="n">
        <v>-281.427988574074</v>
      </c>
      <c r="CR92" s="159" t="n">
        <v>-281.427988574074</v>
      </c>
      <c r="CS92" s="159" t="n">
        <v>-281.427988574074</v>
      </c>
      <c r="CT92" s="159" t="n">
        <v>-281.427988574074</v>
      </c>
      <c r="CU92" s="159" t="n">
        <v>-281.427988574074</v>
      </c>
      <c r="CV92" s="159" t="n">
        <v>-281.427988574074</v>
      </c>
      <c r="CW92" s="159" t="n">
        <v>-281.427988574074</v>
      </c>
      <c r="CX92" s="159" t="n">
        <v>-287.056548345555</v>
      </c>
      <c r="CY92" s="159" t="n">
        <v>-287.056548345555</v>
      </c>
      <c r="CZ92" s="159" t="n">
        <v>-287.056548345555</v>
      </c>
      <c r="DA92" s="159" t="n">
        <v>-287.056548345555</v>
      </c>
      <c r="DB92" s="159" t="n">
        <v>-287.056548345555</v>
      </c>
      <c r="DC92" s="159" t="n">
        <v>-287.056548345555</v>
      </c>
      <c r="DD92" s="159" t="n">
        <v>-287.056548345555</v>
      </c>
      <c r="DE92" s="159" t="n">
        <v>-287.056548345555</v>
      </c>
      <c r="DF92" s="159" t="n">
        <v>-287.056548345555</v>
      </c>
    </row>
    <row r="93" customFormat="false" ht="15" hidden="false" customHeight="true" outlineLevel="0" collapsed="false">
      <c r="A93" s="99" t="s">
        <v>127</v>
      </c>
      <c r="C93" s="159" t="n">
        <v>-986.57</v>
      </c>
      <c r="D93" s="159" t="n">
        <v>-1254.61</v>
      </c>
      <c r="E93" s="159" t="n">
        <v>-1297.31</v>
      </c>
      <c r="F93" s="159" t="n">
        <v>-1179.5</v>
      </c>
      <c r="G93" s="159" t="n">
        <v>-1179.5</v>
      </c>
      <c r="H93" s="159" t="n">
        <v>-1179.5</v>
      </c>
      <c r="I93" s="159" t="n">
        <v>-1179.5</v>
      </c>
      <c r="J93" s="159" t="n">
        <v>-1179.5</v>
      </c>
      <c r="K93" s="159" t="n">
        <v>-1179.5</v>
      </c>
      <c r="L93" s="159" t="n">
        <v>-1179.5</v>
      </c>
      <c r="M93" s="159" t="n">
        <v>-1179.5</v>
      </c>
      <c r="N93" s="159" t="n">
        <v>-1179.5</v>
      </c>
      <c r="O93" s="159" t="n">
        <v>-1179.5</v>
      </c>
      <c r="P93" s="159" t="n">
        <v>-1179.5</v>
      </c>
      <c r="Q93" s="159" t="n">
        <v>-1179.5</v>
      </c>
      <c r="R93" s="159" t="n">
        <v>-1203.09</v>
      </c>
      <c r="S93" s="159" t="n">
        <v>-1203.09</v>
      </c>
      <c r="T93" s="159" t="n">
        <v>-1203.09</v>
      </c>
      <c r="U93" s="159" t="n">
        <v>-1203.09</v>
      </c>
      <c r="V93" s="159" t="n">
        <v>-1203.09</v>
      </c>
      <c r="W93" s="159" t="n">
        <v>-1203.09</v>
      </c>
      <c r="X93" s="159" t="n">
        <v>-1203.09</v>
      </c>
      <c r="Y93" s="159" t="n">
        <v>-1203.09</v>
      </c>
      <c r="Z93" s="159" t="n">
        <v>-1203.09</v>
      </c>
      <c r="AA93" s="159" t="n">
        <v>-1203.09</v>
      </c>
      <c r="AB93" s="159" t="n">
        <v>-1203.09</v>
      </c>
      <c r="AC93" s="159" t="n">
        <v>-1203.09</v>
      </c>
      <c r="AD93" s="159" t="n">
        <v>-1227.1518</v>
      </c>
      <c r="AE93" s="159" t="n">
        <v>-1227.1518</v>
      </c>
      <c r="AF93" s="159" t="n">
        <v>-1227.1518</v>
      </c>
      <c r="AG93" s="159" t="n">
        <v>-1227.1518</v>
      </c>
      <c r="AH93" s="159" t="n">
        <v>-1227.1518</v>
      </c>
      <c r="AI93" s="159" t="n">
        <v>-1227.1518</v>
      </c>
      <c r="AJ93" s="159" t="n">
        <v>-1227.1518</v>
      </c>
      <c r="AK93" s="159" t="n">
        <v>-1227.1518</v>
      </c>
      <c r="AL93" s="159" t="n">
        <v>-1227.1518</v>
      </c>
      <c r="AM93" s="159" t="n">
        <v>-1227.1518</v>
      </c>
      <c r="AN93" s="159" t="n">
        <v>-1227.1518</v>
      </c>
      <c r="AO93" s="159" t="n">
        <v>-1227.1518</v>
      </c>
      <c r="AP93" s="159" t="n">
        <v>-1251.694836</v>
      </c>
      <c r="AQ93" s="159" t="n">
        <v>-1251.694836</v>
      </c>
      <c r="AR93" s="159" t="n">
        <v>-1251.694836</v>
      </c>
      <c r="AS93" s="159" t="n">
        <v>-1251.694836</v>
      </c>
      <c r="AT93" s="159" t="n">
        <v>-1251.694836</v>
      </c>
      <c r="AU93" s="159" t="n">
        <v>-1251.694836</v>
      </c>
      <c r="AV93" s="159" t="n">
        <v>-1251.694836</v>
      </c>
      <c r="AW93" s="159" t="n">
        <v>-1251.694836</v>
      </c>
      <c r="AX93" s="159" t="n">
        <v>-1251.694836</v>
      </c>
      <c r="AY93" s="159" t="n">
        <v>-1251.694836</v>
      </c>
      <c r="AZ93" s="159" t="n">
        <v>-1251.694836</v>
      </c>
      <c r="BA93" s="159" t="n">
        <v>-1251.694836</v>
      </c>
      <c r="BB93" s="159" t="n">
        <v>-1276.72873272</v>
      </c>
      <c r="BC93" s="159" t="n">
        <v>-1276.72873272</v>
      </c>
      <c r="BD93" s="159" t="n">
        <v>-1276.72873272</v>
      </c>
      <c r="BE93" s="159" t="n">
        <v>-1276.72873272</v>
      </c>
      <c r="BF93" s="159" t="n">
        <v>-1276.72873272</v>
      </c>
      <c r="BG93" s="159" t="n">
        <v>-1276.72873272</v>
      </c>
      <c r="BH93" s="159" t="n">
        <v>-1276.72873272</v>
      </c>
      <c r="BI93" s="159" t="n">
        <v>-1276.72873272</v>
      </c>
      <c r="BJ93" s="159" t="n">
        <v>-1276.72873272</v>
      </c>
      <c r="BK93" s="159" t="n">
        <v>-1276.72873272</v>
      </c>
      <c r="BL93" s="159" t="n">
        <v>-1276.72873272</v>
      </c>
      <c r="BM93" s="159" t="n">
        <v>-1276.72873272</v>
      </c>
      <c r="BN93" s="159" t="n">
        <v>-1302.2633073744</v>
      </c>
      <c r="BO93" s="159" t="n">
        <v>-1302.2633073744</v>
      </c>
      <c r="BP93" s="159" t="n">
        <v>-1302.2633073744</v>
      </c>
      <c r="BQ93" s="159" t="n">
        <v>-1302.2633073744</v>
      </c>
      <c r="BR93" s="159" t="n">
        <v>-1302.2633073744</v>
      </c>
      <c r="BS93" s="159" t="n">
        <v>-1302.2633073744</v>
      </c>
      <c r="BT93" s="159" t="n">
        <v>-1302.2633073744</v>
      </c>
      <c r="BU93" s="159" t="n">
        <v>-1302.2633073744</v>
      </c>
      <c r="BV93" s="159" t="n">
        <v>-1302.2633073744</v>
      </c>
      <c r="BW93" s="159" t="n">
        <v>-1302.2633073744</v>
      </c>
      <c r="BX93" s="159" t="n">
        <v>-1302.2633073744</v>
      </c>
      <c r="BY93" s="159" t="n">
        <v>-1302.2633073744</v>
      </c>
      <c r="BZ93" s="159" t="n">
        <v>-1328.30857352189</v>
      </c>
      <c r="CA93" s="159" t="n">
        <v>-1328.30857352189</v>
      </c>
      <c r="CB93" s="159" t="n">
        <v>-1328.30857352189</v>
      </c>
      <c r="CC93" s="159" t="n">
        <v>-1328.30857352189</v>
      </c>
      <c r="CD93" s="159" t="n">
        <v>-1328.30857352189</v>
      </c>
      <c r="CE93" s="159" t="n">
        <v>-1328.30857352189</v>
      </c>
      <c r="CF93" s="159" t="n">
        <v>-1328.30857352189</v>
      </c>
      <c r="CG93" s="159" t="n">
        <v>-1328.30857352189</v>
      </c>
      <c r="CH93" s="159" t="n">
        <v>-1328.30857352189</v>
      </c>
      <c r="CI93" s="159" t="n">
        <v>-1328.30857352189</v>
      </c>
      <c r="CJ93" s="159" t="n">
        <v>-1328.30857352189</v>
      </c>
      <c r="CK93" s="159" t="n">
        <v>-1328.30857352189</v>
      </c>
      <c r="CL93" s="159" t="n">
        <v>-1354.87474499233</v>
      </c>
      <c r="CM93" s="159" t="n">
        <v>-1354.87474499233</v>
      </c>
      <c r="CN93" s="159" t="n">
        <v>-1354.87474499233</v>
      </c>
      <c r="CO93" s="159" t="n">
        <v>-1354.87474499233</v>
      </c>
      <c r="CP93" s="159" t="n">
        <v>-1354.87474499233</v>
      </c>
      <c r="CQ93" s="159" t="n">
        <v>-1354.87474499233</v>
      </c>
      <c r="CR93" s="159" t="n">
        <v>-1354.87474499233</v>
      </c>
      <c r="CS93" s="159" t="n">
        <v>-1354.87474499233</v>
      </c>
      <c r="CT93" s="159" t="n">
        <v>-1354.87474499233</v>
      </c>
      <c r="CU93" s="159" t="n">
        <v>-1354.87474499233</v>
      </c>
      <c r="CV93" s="159" t="n">
        <v>-1354.87474499233</v>
      </c>
      <c r="CW93" s="159" t="n">
        <v>-1354.87474499233</v>
      </c>
      <c r="CX93" s="159" t="n">
        <v>-1381.97223989217</v>
      </c>
      <c r="CY93" s="159" t="n">
        <v>-1381.97223989217</v>
      </c>
      <c r="CZ93" s="159" t="n">
        <v>-1381.97223989217</v>
      </c>
      <c r="DA93" s="159" t="n">
        <v>-1381.97223989217</v>
      </c>
      <c r="DB93" s="159" t="n">
        <v>-1381.97223989217</v>
      </c>
      <c r="DC93" s="159" t="n">
        <v>-1381.97223989217</v>
      </c>
      <c r="DD93" s="159" t="n">
        <v>-1381.97223989217</v>
      </c>
      <c r="DE93" s="159" t="n">
        <v>-1381.97223989217</v>
      </c>
      <c r="DF93" s="159" t="n">
        <v>-1381.97223989217</v>
      </c>
    </row>
    <row r="94" customFormat="false" ht="15" hidden="false" customHeight="true" outlineLevel="0" collapsed="false">
      <c r="A94" s="99" t="s">
        <v>128</v>
      </c>
      <c r="C94" s="159" t="n">
        <v>-588.66</v>
      </c>
      <c r="D94" s="159" t="n">
        <v>-22.94</v>
      </c>
      <c r="E94" s="159" t="n">
        <v>-487.3</v>
      </c>
      <c r="F94" s="159" t="n">
        <v>-366.3</v>
      </c>
      <c r="G94" s="159" t="n">
        <v>-366.3</v>
      </c>
      <c r="H94" s="159" t="n">
        <v>-366.3</v>
      </c>
      <c r="I94" s="159" t="n">
        <v>-366.3</v>
      </c>
      <c r="J94" s="159" t="n">
        <v>-366.3</v>
      </c>
      <c r="K94" s="159" t="n">
        <v>-366.3</v>
      </c>
      <c r="L94" s="159" t="n">
        <v>-366.3</v>
      </c>
      <c r="M94" s="159" t="n">
        <v>-366.3</v>
      </c>
      <c r="N94" s="159" t="n">
        <v>-366.3</v>
      </c>
      <c r="O94" s="159" t="n">
        <v>-366.3</v>
      </c>
      <c r="P94" s="159" t="n">
        <v>-366.3</v>
      </c>
      <c r="Q94" s="159" t="n">
        <v>-366.3</v>
      </c>
      <c r="R94" s="159" t="n">
        <v>-373.626</v>
      </c>
      <c r="S94" s="159" t="n">
        <v>-373.626</v>
      </c>
      <c r="T94" s="159" t="n">
        <v>-373.626</v>
      </c>
      <c r="U94" s="159" t="n">
        <v>-373.626</v>
      </c>
      <c r="V94" s="159" t="n">
        <v>-373.626</v>
      </c>
      <c r="W94" s="159" t="n">
        <v>-373.626</v>
      </c>
      <c r="X94" s="159" t="n">
        <v>-373.626</v>
      </c>
      <c r="Y94" s="159" t="n">
        <v>-373.626</v>
      </c>
      <c r="Z94" s="159" t="n">
        <v>-373.626</v>
      </c>
      <c r="AA94" s="159" t="n">
        <v>-373.626</v>
      </c>
      <c r="AB94" s="159" t="n">
        <v>-373.626</v>
      </c>
      <c r="AC94" s="159" t="n">
        <v>-373.626</v>
      </c>
      <c r="AD94" s="159" t="n">
        <v>-381.09852</v>
      </c>
      <c r="AE94" s="159" t="n">
        <v>-381.09852</v>
      </c>
      <c r="AF94" s="159" t="n">
        <v>-381.09852</v>
      </c>
      <c r="AG94" s="159" t="n">
        <v>-381.09852</v>
      </c>
      <c r="AH94" s="159" t="n">
        <v>-381.09852</v>
      </c>
      <c r="AI94" s="159" t="n">
        <v>-381.09852</v>
      </c>
      <c r="AJ94" s="159" t="n">
        <v>-381.09852</v>
      </c>
      <c r="AK94" s="159" t="n">
        <v>-381.09852</v>
      </c>
      <c r="AL94" s="159" t="n">
        <v>-381.09852</v>
      </c>
      <c r="AM94" s="159" t="n">
        <v>-381.09852</v>
      </c>
      <c r="AN94" s="159" t="n">
        <v>-381.09852</v>
      </c>
      <c r="AO94" s="159" t="n">
        <v>-381.09852</v>
      </c>
      <c r="AP94" s="159" t="n">
        <v>-388.7204904</v>
      </c>
      <c r="AQ94" s="159" t="n">
        <v>-388.7204904</v>
      </c>
      <c r="AR94" s="159" t="n">
        <v>-388.7204904</v>
      </c>
      <c r="AS94" s="159" t="n">
        <v>-388.7204904</v>
      </c>
      <c r="AT94" s="159" t="n">
        <v>-388.7204904</v>
      </c>
      <c r="AU94" s="159" t="n">
        <v>-388.7204904</v>
      </c>
      <c r="AV94" s="159" t="n">
        <v>-388.7204904</v>
      </c>
      <c r="AW94" s="159" t="n">
        <v>-388.7204904</v>
      </c>
      <c r="AX94" s="159" t="n">
        <v>-388.7204904</v>
      </c>
      <c r="AY94" s="159" t="n">
        <v>-388.7204904</v>
      </c>
      <c r="AZ94" s="159" t="n">
        <v>-388.7204904</v>
      </c>
      <c r="BA94" s="159" t="n">
        <v>-388.7204904</v>
      </c>
      <c r="BB94" s="159" t="n">
        <v>-396.494900208</v>
      </c>
      <c r="BC94" s="159" t="n">
        <v>-396.494900208</v>
      </c>
      <c r="BD94" s="159" t="n">
        <v>-396.494900208</v>
      </c>
      <c r="BE94" s="159" t="n">
        <v>-396.494900208</v>
      </c>
      <c r="BF94" s="159" t="n">
        <v>-396.494900208</v>
      </c>
      <c r="BG94" s="159" t="n">
        <v>-396.494900208</v>
      </c>
      <c r="BH94" s="159" t="n">
        <v>-396.494900208</v>
      </c>
      <c r="BI94" s="159" t="n">
        <v>-396.494900208</v>
      </c>
      <c r="BJ94" s="159" t="n">
        <v>-396.494900208</v>
      </c>
      <c r="BK94" s="159" t="n">
        <v>-396.494900208</v>
      </c>
      <c r="BL94" s="159" t="n">
        <v>-396.494900208</v>
      </c>
      <c r="BM94" s="159" t="n">
        <v>-396.494900208</v>
      </c>
      <c r="BN94" s="159" t="n">
        <v>-404.42479821216</v>
      </c>
      <c r="BO94" s="159" t="n">
        <v>-404.42479821216</v>
      </c>
      <c r="BP94" s="159" t="n">
        <v>-404.42479821216</v>
      </c>
      <c r="BQ94" s="159" t="n">
        <v>-404.42479821216</v>
      </c>
      <c r="BR94" s="159" t="n">
        <v>-404.42479821216</v>
      </c>
      <c r="BS94" s="159" t="n">
        <v>-404.42479821216</v>
      </c>
      <c r="BT94" s="159" t="n">
        <v>-404.42479821216</v>
      </c>
      <c r="BU94" s="159" t="n">
        <v>-404.42479821216</v>
      </c>
      <c r="BV94" s="159" t="n">
        <v>-404.42479821216</v>
      </c>
      <c r="BW94" s="159" t="n">
        <v>-404.42479821216</v>
      </c>
      <c r="BX94" s="159" t="n">
        <v>-404.42479821216</v>
      </c>
      <c r="BY94" s="159" t="n">
        <v>-404.42479821216</v>
      </c>
      <c r="BZ94" s="159" t="n">
        <v>-412.513294176403</v>
      </c>
      <c r="CA94" s="159" t="n">
        <v>-412.513294176403</v>
      </c>
      <c r="CB94" s="159" t="n">
        <v>-412.513294176403</v>
      </c>
      <c r="CC94" s="159" t="n">
        <v>-412.513294176403</v>
      </c>
      <c r="CD94" s="159" t="n">
        <v>-412.513294176403</v>
      </c>
      <c r="CE94" s="159" t="n">
        <v>-412.513294176403</v>
      </c>
      <c r="CF94" s="159" t="n">
        <v>-412.513294176403</v>
      </c>
      <c r="CG94" s="159" t="n">
        <v>-412.513294176403</v>
      </c>
      <c r="CH94" s="159" t="n">
        <v>-412.513294176403</v>
      </c>
      <c r="CI94" s="159" t="n">
        <v>-412.513294176403</v>
      </c>
      <c r="CJ94" s="159" t="n">
        <v>-412.513294176403</v>
      </c>
      <c r="CK94" s="159" t="n">
        <v>-412.513294176403</v>
      </c>
      <c r="CL94" s="159" t="n">
        <v>-420.763560059931</v>
      </c>
      <c r="CM94" s="159" t="n">
        <v>-420.763560059931</v>
      </c>
      <c r="CN94" s="159" t="n">
        <v>-420.763560059931</v>
      </c>
      <c r="CO94" s="159" t="n">
        <v>-420.763560059931</v>
      </c>
      <c r="CP94" s="159" t="n">
        <v>-420.763560059931</v>
      </c>
      <c r="CQ94" s="159" t="n">
        <v>-420.763560059931</v>
      </c>
      <c r="CR94" s="159" t="n">
        <v>-420.763560059931</v>
      </c>
      <c r="CS94" s="159" t="n">
        <v>-420.763560059931</v>
      </c>
      <c r="CT94" s="159" t="n">
        <v>-420.763560059931</v>
      </c>
      <c r="CU94" s="159" t="n">
        <v>-420.763560059931</v>
      </c>
      <c r="CV94" s="159" t="n">
        <v>-420.763560059931</v>
      </c>
      <c r="CW94" s="159" t="n">
        <v>-420.763560059931</v>
      </c>
      <c r="CX94" s="159" t="n">
        <v>-429.17883126113</v>
      </c>
      <c r="CY94" s="159" t="n">
        <v>-429.17883126113</v>
      </c>
      <c r="CZ94" s="159" t="n">
        <v>-429.17883126113</v>
      </c>
      <c r="DA94" s="159" t="n">
        <v>-429.17883126113</v>
      </c>
      <c r="DB94" s="159" t="n">
        <v>-429.17883126113</v>
      </c>
      <c r="DC94" s="159" t="n">
        <v>-429.17883126113</v>
      </c>
      <c r="DD94" s="159" t="n">
        <v>-429.17883126113</v>
      </c>
      <c r="DE94" s="159" t="n">
        <v>-429.17883126113</v>
      </c>
      <c r="DF94" s="159" t="n">
        <v>-429.17883126113</v>
      </c>
    </row>
    <row r="95" customFormat="false" ht="15" hidden="false" customHeight="true" outlineLevel="0" collapsed="false">
      <c r="A95" s="99" t="s">
        <v>129</v>
      </c>
      <c r="C95" s="159" t="n">
        <v>0</v>
      </c>
      <c r="D95" s="159" t="n">
        <v>-92.75</v>
      </c>
      <c r="E95" s="159" t="n">
        <v>-57.46</v>
      </c>
      <c r="F95" s="159" t="n">
        <v>-50.07</v>
      </c>
      <c r="G95" s="159" t="n">
        <v>-50.07</v>
      </c>
      <c r="H95" s="159" t="n">
        <v>-50.07</v>
      </c>
      <c r="I95" s="159" t="n">
        <v>-50.07</v>
      </c>
      <c r="J95" s="159" t="n">
        <v>-50.07</v>
      </c>
      <c r="K95" s="159" t="n">
        <v>-50.07</v>
      </c>
      <c r="L95" s="159" t="n">
        <v>-50.07</v>
      </c>
      <c r="M95" s="159" t="n">
        <v>-50.07</v>
      </c>
      <c r="N95" s="159" t="n">
        <v>-50.07</v>
      </c>
      <c r="O95" s="159" t="n">
        <v>-50.07</v>
      </c>
      <c r="P95" s="159" t="n">
        <v>-50.07</v>
      </c>
      <c r="Q95" s="159" t="n">
        <v>-50.07</v>
      </c>
      <c r="R95" s="159" t="n">
        <v>-51.0714</v>
      </c>
      <c r="S95" s="159" t="n">
        <v>-51.0714</v>
      </c>
      <c r="T95" s="159" t="n">
        <v>-51.0714</v>
      </c>
      <c r="U95" s="159" t="n">
        <v>-51.0714</v>
      </c>
      <c r="V95" s="159" t="n">
        <v>-51.0714</v>
      </c>
      <c r="W95" s="159" t="n">
        <v>-51.0714</v>
      </c>
      <c r="X95" s="159" t="n">
        <v>-51.0714</v>
      </c>
      <c r="Y95" s="159" t="n">
        <v>-51.0714</v>
      </c>
      <c r="Z95" s="159" t="n">
        <v>-51.0714</v>
      </c>
      <c r="AA95" s="159" t="n">
        <v>-51.0714</v>
      </c>
      <c r="AB95" s="159" t="n">
        <v>-51.0714</v>
      </c>
      <c r="AC95" s="159" t="n">
        <v>-51.0714</v>
      </c>
      <c r="AD95" s="159" t="n">
        <v>-52.092828</v>
      </c>
      <c r="AE95" s="159" t="n">
        <v>-52.092828</v>
      </c>
      <c r="AF95" s="159" t="n">
        <v>-52.092828</v>
      </c>
      <c r="AG95" s="159" t="n">
        <v>-52.092828</v>
      </c>
      <c r="AH95" s="159" t="n">
        <v>-52.092828</v>
      </c>
      <c r="AI95" s="159" t="n">
        <v>-52.092828</v>
      </c>
      <c r="AJ95" s="159" t="n">
        <v>-52.092828</v>
      </c>
      <c r="AK95" s="159" t="n">
        <v>-52.092828</v>
      </c>
      <c r="AL95" s="159" t="n">
        <v>-52.092828</v>
      </c>
      <c r="AM95" s="159" t="n">
        <v>-52.092828</v>
      </c>
      <c r="AN95" s="159" t="n">
        <v>-52.092828</v>
      </c>
      <c r="AO95" s="159" t="n">
        <v>-52.092828</v>
      </c>
      <c r="AP95" s="159" t="n">
        <v>-53.13468456</v>
      </c>
      <c r="AQ95" s="159" t="n">
        <v>-53.13468456</v>
      </c>
      <c r="AR95" s="159" t="n">
        <v>-53.13468456</v>
      </c>
      <c r="AS95" s="159" t="n">
        <v>-53.13468456</v>
      </c>
      <c r="AT95" s="159" t="n">
        <v>-53.13468456</v>
      </c>
      <c r="AU95" s="159" t="n">
        <v>-53.13468456</v>
      </c>
      <c r="AV95" s="159" t="n">
        <v>-53.13468456</v>
      </c>
      <c r="AW95" s="159" t="n">
        <v>-53.13468456</v>
      </c>
      <c r="AX95" s="159" t="n">
        <v>-53.13468456</v>
      </c>
      <c r="AY95" s="159" t="n">
        <v>-53.13468456</v>
      </c>
      <c r="AZ95" s="159" t="n">
        <v>-53.13468456</v>
      </c>
      <c r="BA95" s="159" t="n">
        <v>-53.13468456</v>
      </c>
      <c r="BB95" s="159" t="n">
        <v>-54.1973782512</v>
      </c>
      <c r="BC95" s="159" t="n">
        <v>-54.1973782512</v>
      </c>
      <c r="BD95" s="159" t="n">
        <v>-54.1973782512</v>
      </c>
      <c r="BE95" s="159" t="n">
        <v>-54.1973782512</v>
      </c>
      <c r="BF95" s="159" t="n">
        <v>-54.1973782512</v>
      </c>
      <c r="BG95" s="159" t="n">
        <v>-54.1973782512</v>
      </c>
      <c r="BH95" s="159" t="n">
        <v>-54.1973782512</v>
      </c>
      <c r="BI95" s="159" t="n">
        <v>-54.1973782512</v>
      </c>
      <c r="BJ95" s="159" t="n">
        <v>-54.1973782512</v>
      </c>
      <c r="BK95" s="159" t="n">
        <v>-54.1973782512</v>
      </c>
      <c r="BL95" s="159" t="n">
        <v>-54.1973782512</v>
      </c>
      <c r="BM95" s="159" t="n">
        <v>-54.1973782512</v>
      </c>
      <c r="BN95" s="159" t="n">
        <v>-55.281325816224</v>
      </c>
      <c r="BO95" s="159" t="n">
        <v>-55.281325816224</v>
      </c>
      <c r="BP95" s="159" t="n">
        <v>-55.281325816224</v>
      </c>
      <c r="BQ95" s="159" t="n">
        <v>-55.281325816224</v>
      </c>
      <c r="BR95" s="159" t="n">
        <v>-55.281325816224</v>
      </c>
      <c r="BS95" s="159" t="n">
        <v>-55.281325816224</v>
      </c>
      <c r="BT95" s="159" t="n">
        <v>-55.281325816224</v>
      </c>
      <c r="BU95" s="159" t="n">
        <v>-55.281325816224</v>
      </c>
      <c r="BV95" s="159" t="n">
        <v>-55.281325816224</v>
      </c>
      <c r="BW95" s="159" t="n">
        <v>-55.281325816224</v>
      </c>
      <c r="BX95" s="159" t="n">
        <v>-55.281325816224</v>
      </c>
      <c r="BY95" s="159" t="n">
        <v>-55.281325816224</v>
      </c>
      <c r="BZ95" s="159" t="n">
        <v>-56.3869523325485</v>
      </c>
      <c r="CA95" s="159" t="n">
        <v>-56.3869523325485</v>
      </c>
      <c r="CB95" s="159" t="n">
        <v>-56.3869523325485</v>
      </c>
      <c r="CC95" s="159" t="n">
        <v>-56.3869523325485</v>
      </c>
      <c r="CD95" s="159" t="n">
        <v>-56.3869523325485</v>
      </c>
      <c r="CE95" s="159" t="n">
        <v>-56.3869523325485</v>
      </c>
      <c r="CF95" s="159" t="n">
        <v>-56.3869523325485</v>
      </c>
      <c r="CG95" s="159" t="n">
        <v>-56.3869523325485</v>
      </c>
      <c r="CH95" s="159" t="n">
        <v>-56.3869523325485</v>
      </c>
      <c r="CI95" s="159" t="n">
        <v>-56.3869523325485</v>
      </c>
      <c r="CJ95" s="159" t="n">
        <v>-56.3869523325485</v>
      </c>
      <c r="CK95" s="159" t="n">
        <v>-56.3869523325485</v>
      </c>
      <c r="CL95" s="159" t="n">
        <v>-57.5146913791995</v>
      </c>
      <c r="CM95" s="159" t="n">
        <v>-57.5146913791995</v>
      </c>
      <c r="CN95" s="159" t="n">
        <v>-57.5146913791995</v>
      </c>
      <c r="CO95" s="159" t="n">
        <v>-57.5146913791995</v>
      </c>
      <c r="CP95" s="159" t="n">
        <v>-57.5146913791995</v>
      </c>
      <c r="CQ95" s="159" t="n">
        <v>-57.5146913791995</v>
      </c>
      <c r="CR95" s="159" t="n">
        <v>-57.5146913791995</v>
      </c>
      <c r="CS95" s="159" t="n">
        <v>-57.5146913791995</v>
      </c>
      <c r="CT95" s="159" t="n">
        <v>-57.5146913791995</v>
      </c>
      <c r="CU95" s="159" t="n">
        <v>-57.5146913791995</v>
      </c>
      <c r="CV95" s="159" t="n">
        <v>-57.5146913791995</v>
      </c>
      <c r="CW95" s="159" t="n">
        <v>-57.5146913791995</v>
      </c>
      <c r="CX95" s="159" t="n">
        <v>-58.6649852067835</v>
      </c>
      <c r="CY95" s="159" t="n">
        <v>-58.6649852067835</v>
      </c>
      <c r="CZ95" s="159" t="n">
        <v>-58.6649852067835</v>
      </c>
      <c r="DA95" s="159" t="n">
        <v>-58.6649852067835</v>
      </c>
      <c r="DB95" s="159" t="n">
        <v>-58.6649852067835</v>
      </c>
      <c r="DC95" s="159" t="n">
        <v>-58.6649852067835</v>
      </c>
      <c r="DD95" s="159" t="n">
        <v>-58.6649852067835</v>
      </c>
      <c r="DE95" s="159" t="n">
        <v>-58.6649852067835</v>
      </c>
      <c r="DF95" s="159" t="n">
        <v>-58.6649852067835</v>
      </c>
    </row>
    <row r="96" customFormat="false" ht="15" hidden="false" customHeight="true" outlineLevel="0" collapsed="false">
      <c r="A96" s="99" t="s">
        <v>78</v>
      </c>
      <c r="C96" s="159" t="n">
        <v>-640.88</v>
      </c>
      <c r="D96" s="159" t="n">
        <v>-872.64</v>
      </c>
      <c r="E96" s="159" t="n">
        <v>-1175.78</v>
      </c>
      <c r="F96" s="159" t="n">
        <v>-896.43</v>
      </c>
      <c r="G96" s="159" t="n">
        <v>-896.43</v>
      </c>
      <c r="H96" s="159" t="n">
        <v>-896.43</v>
      </c>
      <c r="I96" s="159" t="n">
        <v>-896.43</v>
      </c>
      <c r="J96" s="159" t="n">
        <v>-896.43</v>
      </c>
      <c r="K96" s="159" t="n">
        <v>-896.43</v>
      </c>
      <c r="L96" s="159" t="n">
        <v>-896.43</v>
      </c>
      <c r="M96" s="159" t="n">
        <v>-896.43</v>
      </c>
      <c r="N96" s="159" t="n">
        <v>-896.43</v>
      </c>
      <c r="O96" s="159" t="n">
        <v>-896.43</v>
      </c>
      <c r="P96" s="159" t="n">
        <v>-896.43</v>
      </c>
      <c r="Q96" s="159" t="n">
        <v>-896.43</v>
      </c>
      <c r="R96" s="159" t="n">
        <v>-914.3586</v>
      </c>
      <c r="S96" s="159" t="n">
        <v>-914.3586</v>
      </c>
      <c r="T96" s="159" t="n">
        <v>-914.3586</v>
      </c>
      <c r="U96" s="159" t="n">
        <v>-914.3586</v>
      </c>
      <c r="V96" s="159" t="n">
        <v>-914.3586</v>
      </c>
      <c r="W96" s="159" t="n">
        <v>-914.3586</v>
      </c>
      <c r="X96" s="159" t="n">
        <v>-914.3586</v>
      </c>
      <c r="Y96" s="159" t="n">
        <v>-914.3586</v>
      </c>
      <c r="Z96" s="159" t="n">
        <v>-914.3586</v>
      </c>
      <c r="AA96" s="159" t="n">
        <v>-914.3586</v>
      </c>
      <c r="AB96" s="159" t="n">
        <v>-914.3586</v>
      </c>
      <c r="AC96" s="159" t="n">
        <v>-914.3586</v>
      </c>
      <c r="AD96" s="159" t="n">
        <v>-932.645772</v>
      </c>
      <c r="AE96" s="159" t="n">
        <v>-932.645772</v>
      </c>
      <c r="AF96" s="159" t="n">
        <v>-932.645772</v>
      </c>
      <c r="AG96" s="159" t="n">
        <v>-932.645772</v>
      </c>
      <c r="AH96" s="159" t="n">
        <v>-932.645772</v>
      </c>
      <c r="AI96" s="159" t="n">
        <v>-932.645772</v>
      </c>
      <c r="AJ96" s="159" t="n">
        <v>-932.645772</v>
      </c>
      <c r="AK96" s="159" t="n">
        <v>-932.645772</v>
      </c>
      <c r="AL96" s="159" t="n">
        <v>-932.645772</v>
      </c>
      <c r="AM96" s="159" t="n">
        <v>-932.645772</v>
      </c>
      <c r="AN96" s="159" t="n">
        <v>-932.645772</v>
      </c>
      <c r="AO96" s="159" t="n">
        <v>-932.645772</v>
      </c>
      <c r="AP96" s="159" t="n">
        <v>-951.29868744</v>
      </c>
      <c r="AQ96" s="159" t="n">
        <v>-951.29868744</v>
      </c>
      <c r="AR96" s="159" t="n">
        <v>-951.29868744</v>
      </c>
      <c r="AS96" s="159" t="n">
        <v>-951.29868744</v>
      </c>
      <c r="AT96" s="159" t="n">
        <v>-951.29868744</v>
      </c>
      <c r="AU96" s="159" t="n">
        <v>-951.29868744</v>
      </c>
      <c r="AV96" s="159" t="n">
        <v>-951.29868744</v>
      </c>
      <c r="AW96" s="159" t="n">
        <v>-951.29868744</v>
      </c>
      <c r="AX96" s="159" t="n">
        <v>-951.29868744</v>
      </c>
      <c r="AY96" s="159" t="n">
        <v>-951.29868744</v>
      </c>
      <c r="AZ96" s="159" t="n">
        <v>-951.29868744</v>
      </c>
      <c r="BA96" s="159" t="n">
        <v>-951.29868744</v>
      </c>
      <c r="BB96" s="159" t="n">
        <v>-970.3246611888</v>
      </c>
      <c r="BC96" s="159" t="n">
        <v>-970.3246611888</v>
      </c>
      <c r="BD96" s="159" t="n">
        <v>-970.3246611888</v>
      </c>
      <c r="BE96" s="159" t="n">
        <v>-970.3246611888</v>
      </c>
      <c r="BF96" s="159" t="n">
        <v>-970.3246611888</v>
      </c>
      <c r="BG96" s="159" t="n">
        <v>-970.3246611888</v>
      </c>
      <c r="BH96" s="159" t="n">
        <v>-970.3246611888</v>
      </c>
      <c r="BI96" s="159" t="n">
        <v>-970.3246611888</v>
      </c>
      <c r="BJ96" s="159" t="n">
        <v>-970.3246611888</v>
      </c>
      <c r="BK96" s="159" t="n">
        <v>-970.3246611888</v>
      </c>
      <c r="BL96" s="159" t="n">
        <v>-970.3246611888</v>
      </c>
      <c r="BM96" s="159" t="n">
        <v>-970.3246611888</v>
      </c>
      <c r="BN96" s="159" t="n">
        <v>-989.731154412576</v>
      </c>
      <c r="BO96" s="159" t="n">
        <v>-989.731154412576</v>
      </c>
      <c r="BP96" s="159" t="n">
        <v>-989.731154412576</v>
      </c>
      <c r="BQ96" s="159" t="n">
        <v>-989.731154412576</v>
      </c>
      <c r="BR96" s="159" t="n">
        <v>-989.731154412576</v>
      </c>
      <c r="BS96" s="159" t="n">
        <v>-989.731154412576</v>
      </c>
      <c r="BT96" s="159" t="n">
        <v>-989.731154412576</v>
      </c>
      <c r="BU96" s="159" t="n">
        <v>-989.731154412576</v>
      </c>
      <c r="BV96" s="159" t="n">
        <v>-989.731154412576</v>
      </c>
      <c r="BW96" s="159" t="n">
        <v>-989.731154412576</v>
      </c>
      <c r="BX96" s="159" t="n">
        <v>-989.731154412576</v>
      </c>
      <c r="BY96" s="159" t="n">
        <v>-989.731154412576</v>
      </c>
      <c r="BZ96" s="159" t="n">
        <v>-1009.52577750083</v>
      </c>
      <c r="CA96" s="159" t="n">
        <v>-1009.52577750083</v>
      </c>
      <c r="CB96" s="159" t="n">
        <v>-1009.52577750083</v>
      </c>
      <c r="CC96" s="159" t="n">
        <v>-1009.52577750083</v>
      </c>
      <c r="CD96" s="159" t="n">
        <v>-1009.52577750083</v>
      </c>
      <c r="CE96" s="159" t="n">
        <v>-1009.52577750083</v>
      </c>
      <c r="CF96" s="159" t="n">
        <v>-1009.52577750083</v>
      </c>
      <c r="CG96" s="159" t="n">
        <v>-1009.52577750083</v>
      </c>
      <c r="CH96" s="159" t="n">
        <v>-1009.52577750083</v>
      </c>
      <c r="CI96" s="159" t="n">
        <v>-1009.52577750083</v>
      </c>
      <c r="CJ96" s="159" t="n">
        <v>-1009.52577750083</v>
      </c>
      <c r="CK96" s="159" t="n">
        <v>-1009.52577750083</v>
      </c>
      <c r="CL96" s="159" t="n">
        <v>-1029.71629305084</v>
      </c>
      <c r="CM96" s="159" t="n">
        <v>-1029.71629305084</v>
      </c>
      <c r="CN96" s="159" t="n">
        <v>-1029.71629305084</v>
      </c>
      <c r="CO96" s="159" t="n">
        <v>-1029.71629305084</v>
      </c>
      <c r="CP96" s="159" t="n">
        <v>-1029.71629305084</v>
      </c>
      <c r="CQ96" s="159" t="n">
        <v>-1029.71629305084</v>
      </c>
      <c r="CR96" s="159" t="n">
        <v>-1029.71629305084</v>
      </c>
      <c r="CS96" s="159" t="n">
        <v>-1029.71629305084</v>
      </c>
      <c r="CT96" s="159" t="n">
        <v>-1029.71629305084</v>
      </c>
      <c r="CU96" s="159" t="n">
        <v>-1029.71629305084</v>
      </c>
      <c r="CV96" s="159" t="n">
        <v>-1029.71629305084</v>
      </c>
      <c r="CW96" s="159" t="n">
        <v>-1029.71629305084</v>
      </c>
      <c r="CX96" s="159" t="n">
        <v>-1050.31061891186</v>
      </c>
      <c r="CY96" s="159" t="n">
        <v>-1050.31061891186</v>
      </c>
      <c r="CZ96" s="159" t="n">
        <v>-1050.31061891186</v>
      </c>
      <c r="DA96" s="159" t="n">
        <v>-1050.31061891186</v>
      </c>
      <c r="DB96" s="159" t="n">
        <v>-1050.31061891186</v>
      </c>
      <c r="DC96" s="159" t="n">
        <v>-1050.31061891186</v>
      </c>
      <c r="DD96" s="159" t="n">
        <v>-1050.31061891186</v>
      </c>
      <c r="DE96" s="159" t="n">
        <v>-1050.31061891186</v>
      </c>
      <c r="DF96" s="159" t="n">
        <v>-1050.31061891186</v>
      </c>
    </row>
    <row r="97" customFormat="false" ht="15" hidden="false" customHeight="true" outlineLevel="0" collapsed="false">
      <c r="A97" s="99" t="s">
        <v>79</v>
      </c>
      <c r="C97" s="159" t="n">
        <v>0</v>
      </c>
      <c r="D97" s="159" t="n">
        <v>0</v>
      </c>
      <c r="E97" s="159" t="n">
        <v>-38050.5</v>
      </c>
      <c r="F97" s="159" t="n">
        <v>-2000</v>
      </c>
      <c r="G97" s="159" t="n">
        <v>-2000</v>
      </c>
      <c r="H97" s="159" t="n">
        <v>-2000</v>
      </c>
      <c r="I97" s="159" t="n">
        <v>-2000</v>
      </c>
      <c r="J97" s="159" t="n">
        <v>-2000</v>
      </c>
      <c r="K97" s="159" t="n">
        <v>-2000</v>
      </c>
      <c r="L97" s="159" t="n">
        <v>-2000</v>
      </c>
      <c r="M97" s="159" t="n">
        <v>-2000</v>
      </c>
      <c r="N97" s="159" t="n">
        <v>-2000</v>
      </c>
      <c r="O97" s="159" t="n">
        <v>-2000</v>
      </c>
      <c r="P97" s="159" t="n">
        <v>-2000</v>
      </c>
      <c r="Q97" s="159" t="n">
        <v>-2000</v>
      </c>
      <c r="R97" s="159" t="n">
        <v>-2040</v>
      </c>
      <c r="S97" s="159" t="n">
        <v>-2040</v>
      </c>
      <c r="T97" s="159" t="n">
        <v>-2040</v>
      </c>
      <c r="U97" s="159" t="n">
        <v>-2040</v>
      </c>
      <c r="V97" s="159" t="n">
        <v>-2040</v>
      </c>
      <c r="W97" s="159" t="n">
        <v>-2040</v>
      </c>
      <c r="X97" s="159" t="n">
        <v>-2040</v>
      </c>
      <c r="Y97" s="159" t="n">
        <v>-2040</v>
      </c>
      <c r="Z97" s="159" t="n">
        <v>-2040</v>
      </c>
      <c r="AA97" s="159" t="n">
        <v>-2040</v>
      </c>
      <c r="AB97" s="159" t="n">
        <v>-2040</v>
      </c>
      <c r="AC97" s="159" t="n">
        <v>-2040</v>
      </c>
      <c r="AD97" s="159" t="n">
        <v>-2080.8</v>
      </c>
      <c r="AE97" s="159" t="n">
        <v>-2080.8</v>
      </c>
      <c r="AF97" s="159" t="n">
        <v>-2080.8</v>
      </c>
      <c r="AG97" s="159" t="n">
        <v>-2080.8</v>
      </c>
      <c r="AH97" s="159" t="n">
        <v>-2080.8</v>
      </c>
      <c r="AI97" s="159" t="n">
        <v>-2080.8</v>
      </c>
      <c r="AJ97" s="159" t="n">
        <v>-2080.8</v>
      </c>
      <c r="AK97" s="159" t="n">
        <v>-2080.8</v>
      </c>
      <c r="AL97" s="159" t="n">
        <v>-2080.8</v>
      </c>
      <c r="AM97" s="159" t="n">
        <v>-2080.8</v>
      </c>
      <c r="AN97" s="159" t="n">
        <v>-2080.8</v>
      </c>
      <c r="AO97" s="159" t="n">
        <v>-2080.8</v>
      </c>
      <c r="AP97" s="159" t="n">
        <v>-2122.416</v>
      </c>
      <c r="AQ97" s="159" t="n">
        <v>-2122.416</v>
      </c>
      <c r="AR97" s="159" t="n">
        <v>-2122.416</v>
      </c>
      <c r="AS97" s="159" t="n">
        <v>-2122.416</v>
      </c>
      <c r="AT97" s="159" t="n">
        <v>-2122.416</v>
      </c>
      <c r="AU97" s="159" t="n">
        <v>-2122.416</v>
      </c>
      <c r="AV97" s="159" t="n">
        <v>-2122.416</v>
      </c>
      <c r="AW97" s="159" t="n">
        <v>-2122.416</v>
      </c>
      <c r="AX97" s="159" t="n">
        <v>-2122.416</v>
      </c>
      <c r="AY97" s="159" t="n">
        <v>-2122.416</v>
      </c>
      <c r="AZ97" s="159" t="n">
        <v>-2122.416</v>
      </c>
      <c r="BA97" s="159" t="n">
        <v>-2122.416</v>
      </c>
      <c r="BB97" s="159" t="n">
        <v>-2164.86432</v>
      </c>
      <c r="BC97" s="159" t="n">
        <v>-2164.86432</v>
      </c>
      <c r="BD97" s="159" t="n">
        <v>-2164.86432</v>
      </c>
      <c r="BE97" s="159" t="n">
        <v>-2164.86432</v>
      </c>
      <c r="BF97" s="159" t="n">
        <v>-2164.86432</v>
      </c>
      <c r="BG97" s="159" t="n">
        <v>-2164.86432</v>
      </c>
      <c r="BH97" s="159" t="n">
        <v>-2164.86432</v>
      </c>
      <c r="BI97" s="159" t="n">
        <v>-2164.86432</v>
      </c>
      <c r="BJ97" s="159" t="n">
        <v>-2164.86432</v>
      </c>
      <c r="BK97" s="159" t="n">
        <v>-2164.86432</v>
      </c>
      <c r="BL97" s="159" t="n">
        <v>-2164.86432</v>
      </c>
      <c r="BM97" s="159" t="n">
        <v>-2164.86432</v>
      </c>
      <c r="BN97" s="159" t="n">
        <v>-2208.1616064</v>
      </c>
      <c r="BO97" s="159" t="n">
        <v>-2208.1616064</v>
      </c>
      <c r="BP97" s="159" t="n">
        <v>-2208.1616064</v>
      </c>
      <c r="BQ97" s="159" t="n">
        <v>-2208.1616064</v>
      </c>
      <c r="BR97" s="159" t="n">
        <v>-2208.1616064</v>
      </c>
      <c r="BS97" s="159" t="n">
        <v>-2208.1616064</v>
      </c>
      <c r="BT97" s="159" t="n">
        <v>-2208.1616064</v>
      </c>
      <c r="BU97" s="159" t="n">
        <v>-2208.1616064</v>
      </c>
      <c r="BV97" s="159" t="n">
        <v>-2208.1616064</v>
      </c>
      <c r="BW97" s="159" t="n">
        <v>-2208.1616064</v>
      </c>
      <c r="BX97" s="159" t="n">
        <v>-2208.1616064</v>
      </c>
      <c r="BY97" s="159" t="n">
        <v>-2208.1616064</v>
      </c>
      <c r="BZ97" s="159" t="n">
        <v>-2252.324838528</v>
      </c>
      <c r="CA97" s="159" t="n">
        <v>-2252.324838528</v>
      </c>
      <c r="CB97" s="159" t="n">
        <v>-2252.324838528</v>
      </c>
      <c r="CC97" s="159" t="n">
        <v>-2252.324838528</v>
      </c>
      <c r="CD97" s="159" t="n">
        <v>-2252.324838528</v>
      </c>
      <c r="CE97" s="159" t="n">
        <v>-2252.324838528</v>
      </c>
      <c r="CF97" s="159" t="n">
        <v>-2252.324838528</v>
      </c>
      <c r="CG97" s="159" t="n">
        <v>-2252.324838528</v>
      </c>
      <c r="CH97" s="159" t="n">
        <v>-2252.324838528</v>
      </c>
      <c r="CI97" s="159" t="n">
        <v>-2252.324838528</v>
      </c>
      <c r="CJ97" s="159" t="n">
        <v>-2252.324838528</v>
      </c>
      <c r="CK97" s="159" t="n">
        <v>-2252.324838528</v>
      </c>
      <c r="CL97" s="159" t="n">
        <v>-2297.37133529856</v>
      </c>
      <c r="CM97" s="159" t="n">
        <v>-2297.37133529856</v>
      </c>
      <c r="CN97" s="159" t="n">
        <v>-2297.37133529856</v>
      </c>
      <c r="CO97" s="159" t="n">
        <v>-2297.37133529856</v>
      </c>
      <c r="CP97" s="159" t="n">
        <v>-2297.37133529856</v>
      </c>
      <c r="CQ97" s="159" t="n">
        <v>-2297.37133529856</v>
      </c>
      <c r="CR97" s="159" t="n">
        <v>-2297.37133529856</v>
      </c>
      <c r="CS97" s="159" t="n">
        <v>-2297.37133529856</v>
      </c>
      <c r="CT97" s="159" t="n">
        <v>-2297.37133529856</v>
      </c>
      <c r="CU97" s="159" t="n">
        <v>-2297.37133529856</v>
      </c>
      <c r="CV97" s="159" t="n">
        <v>-2297.37133529856</v>
      </c>
      <c r="CW97" s="159" t="n">
        <v>-2297.37133529856</v>
      </c>
      <c r="CX97" s="159" t="n">
        <v>-2343.31876200453</v>
      </c>
      <c r="CY97" s="159" t="n">
        <v>-2343.31876200453</v>
      </c>
      <c r="CZ97" s="159" t="n">
        <v>-2343.31876200453</v>
      </c>
      <c r="DA97" s="159" t="n">
        <v>-2343.31876200453</v>
      </c>
      <c r="DB97" s="159" t="n">
        <v>-2343.31876200453</v>
      </c>
      <c r="DC97" s="159" t="n">
        <v>-2343.31876200453</v>
      </c>
      <c r="DD97" s="159" t="n">
        <v>-2343.31876200453</v>
      </c>
      <c r="DE97" s="159" t="n">
        <v>-2343.31876200453</v>
      </c>
      <c r="DF97" s="159" t="n">
        <v>-2343.31876200453</v>
      </c>
    </row>
    <row r="98" customFormat="false" ht="15" hidden="false" customHeight="true" outlineLevel="0" collapsed="false">
      <c r="A98" s="90" t="s">
        <v>80</v>
      </c>
      <c r="C98" s="104" t="n">
        <v>-4097.78</v>
      </c>
      <c r="D98" s="104" t="n">
        <v>-1950.2</v>
      </c>
      <c r="E98" s="104" t="n">
        <v>-1978.2</v>
      </c>
      <c r="F98" s="158" t="n">
        <v>-2675.39</v>
      </c>
      <c r="G98" s="158" t="n">
        <v>-2675.39</v>
      </c>
      <c r="H98" s="158" t="n">
        <v>-2675.39</v>
      </c>
      <c r="I98" s="158" t="n">
        <v>-2675.39</v>
      </c>
      <c r="J98" s="158" t="n">
        <v>-2675.39</v>
      </c>
      <c r="K98" s="158" t="n">
        <v>-2675.39</v>
      </c>
      <c r="L98" s="158" t="n">
        <v>-2675.39</v>
      </c>
      <c r="M98" s="158" t="n">
        <v>-2675.39</v>
      </c>
      <c r="N98" s="158" t="n">
        <v>-2675.39</v>
      </c>
      <c r="O98" s="158" t="n">
        <v>-2675.39</v>
      </c>
      <c r="P98" s="158" t="n">
        <v>-2675.39</v>
      </c>
      <c r="Q98" s="158" t="n">
        <v>-2675.39</v>
      </c>
      <c r="R98" s="158" t="n">
        <v>-2728.8978</v>
      </c>
      <c r="S98" s="158" t="n">
        <v>-2728.8978</v>
      </c>
      <c r="T98" s="158" t="n">
        <v>-2728.8978</v>
      </c>
      <c r="U98" s="158" t="n">
        <v>-2728.8978</v>
      </c>
      <c r="V98" s="158" t="n">
        <v>-2728.8978</v>
      </c>
      <c r="W98" s="158" t="n">
        <v>-2728.8978</v>
      </c>
      <c r="X98" s="158" t="n">
        <v>-2728.8978</v>
      </c>
      <c r="Y98" s="158" t="n">
        <v>-2728.8978</v>
      </c>
      <c r="Z98" s="158" t="n">
        <v>-2728.8978</v>
      </c>
      <c r="AA98" s="158" t="n">
        <v>-2728.8978</v>
      </c>
      <c r="AB98" s="158" t="n">
        <v>-2728.8978</v>
      </c>
      <c r="AC98" s="158" t="n">
        <v>-2728.8978</v>
      </c>
      <c r="AD98" s="158" t="n">
        <v>-2783.475756</v>
      </c>
      <c r="AE98" s="158" t="n">
        <v>-2783.475756</v>
      </c>
      <c r="AF98" s="158" t="n">
        <v>-2783.475756</v>
      </c>
      <c r="AG98" s="158" t="n">
        <v>-2783.475756</v>
      </c>
      <c r="AH98" s="158" t="n">
        <v>-2783.475756</v>
      </c>
      <c r="AI98" s="158" t="n">
        <v>-2783.475756</v>
      </c>
      <c r="AJ98" s="158" t="n">
        <v>-2783.475756</v>
      </c>
      <c r="AK98" s="158" t="n">
        <v>-2783.475756</v>
      </c>
      <c r="AL98" s="158" t="n">
        <v>-2783.475756</v>
      </c>
      <c r="AM98" s="158" t="n">
        <v>-2783.475756</v>
      </c>
      <c r="AN98" s="158" t="n">
        <v>-2783.475756</v>
      </c>
      <c r="AO98" s="158" t="n">
        <v>-2783.475756</v>
      </c>
      <c r="AP98" s="158" t="n">
        <v>-2839.14527112</v>
      </c>
      <c r="AQ98" s="158" t="n">
        <v>-2839.14527112</v>
      </c>
      <c r="AR98" s="158" t="n">
        <v>-2839.14527112</v>
      </c>
      <c r="AS98" s="158" t="n">
        <v>-2839.14527112</v>
      </c>
      <c r="AT98" s="158" t="n">
        <v>-2839.14527112</v>
      </c>
      <c r="AU98" s="158" t="n">
        <v>-2839.14527112</v>
      </c>
      <c r="AV98" s="158" t="n">
        <v>-2839.14527112</v>
      </c>
      <c r="AW98" s="158" t="n">
        <v>-2839.14527112</v>
      </c>
      <c r="AX98" s="158" t="n">
        <v>-2839.14527112</v>
      </c>
      <c r="AY98" s="158" t="n">
        <v>-2839.14527112</v>
      </c>
      <c r="AZ98" s="158" t="n">
        <v>-2839.14527112</v>
      </c>
      <c r="BA98" s="158" t="n">
        <v>-2839.14527112</v>
      </c>
      <c r="BB98" s="158" t="n">
        <v>-2895.9281765424</v>
      </c>
      <c r="BC98" s="158" t="n">
        <v>-2895.9281765424</v>
      </c>
      <c r="BD98" s="158" t="n">
        <v>-2895.9281765424</v>
      </c>
      <c r="BE98" s="158" t="n">
        <v>-2895.9281765424</v>
      </c>
      <c r="BF98" s="158" t="n">
        <v>-2895.9281765424</v>
      </c>
      <c r="BG98" s="158" t="n">
        <v>-2895.9281765424</v>
      </c>
      <c r="BH98" s="158" t="n">
        <v>-2895.9281765424</v>
      </c>
      <c r="BI98" s="158" t="n">
        <v>-2895.9281765424</v>
      </c>
      <c r="BJ98" s="158" t="n">
        <v>-2895.9281765424</v>
      </c>
      <c r="BK98" s="158" t="n">
        <v>-2895.9281765424</v>
      </c>
      <c r="BL98" s="158" t="n">
        <v>-2895.9281765424</v>
      </c>
      <c r="BM98" s="158" t="n">
        <v>-2895.9281765424</v>
      </c>
      <c r="BN98" s="158" t="n">
        <v>-2953.84674007325</v>
      </c>
      <c r="BO98" s="158" t="n">
        <v>-2953.84674007325</v>
      </c>
      <c r="BP98" s="158" t="n">
        <v>-2953.84674007325</v>
      </c>
      <c r="BQ98" s="158" t="n">
        <v>-2953.84674007325</v>
      </c>
      <c r="BR98" s="158" t="n">
        <v>-2953.84674007325</v>
      </c>
      <c r="BS98" s="158" t="n">
        <v>-2953.84674007325</v>
      </c>
      <c r="BT98" s="158" t="n">
        <v>-2953.84674007325</v>
      </c>
      <c r="BU98" s="158" t="n">
        <v>-2953.84674007325</v>
      </c>
      <c r="BV98" s="158" t="n">
        <v>-2953.84674007325</v>
      </c>
      <c r="BW98" s="158" t="n">
        <v>-2953.84674007325</v>
      </c>
      <c r="BX98" s="158" t="n">
        <v>-2953.84674007325</v>
      </c>
      <c r="BY98" s="158" t="n">
        <v>-2953.84674007325</v>
      </c>
      <c r="BZ98" s="158" t="n">
        <v>-3012.92367487471</v>
      </c>
      <c r="CA98" s="158" t="n">
        <v>-3012.92367487471</v>
      </c>
      <c r="CB98" s="158" t="n">
        <v>-3012.92367487471</v>
      </c>
      <c r="CC98" s="158" t="n">
        <v>-3012.92367487471</v>
      </c>
      <c r="CD98" s="158" t="n">
        <v>-3012.92367487471</v>
      </c>
      <c r="CE98" s="158" t="n">
        <v>-3012.92367487471</v>
      </c>
      <c r="CF98" s="158" t="n">
        <v>-3012.92367487471</v>
      </c>
      <c r="CG98" s="158" t="n">
        <v>-3012.92367487471</v>
      </c>
      <c r="CH98" s="158" t="n">
        <v>-3012.92367487471</v>
      </c>
      <c r="CI98" s="158" t="n">
        <v>-3012.92367487471</v>
      </c>
      <c r="CJ98" s="158" t="n">
        <v>-3012.92367487471</v>
      </c>
      <c r="CK98" s="158" t="n">
        <v>-3012.92367487471</v>
      </c>
      <c r="CL98" s="158" t="n">
        <v>-3073.18214837221</v>
      </c>
      <c r="CM98" s="158" t="n">
        <v>-3073.18214837221</v>
      </c>
      <c r="CN98" s="158" t="n">
        <v>-3073.18214837221</v>
      </c>
      <c r="CO98" s="158" t="n">
        <v>-3073.18214837221</v>
      </c>
      <c r="CP98" s="158" t="n">
        <v>-3073.18214837221</v>
      </c>
      <c r="CQ98" s="158" t="n">
        <v>-3073.18214837221</v>
      </c>
      <c r="CR98" s="158" t="n">
        <v>-3073.18214837221</v>
      </c>
      <c r="CS98" s="158" t="n">
        <v>-3073.18214837221</v>
      </c>
      <c r="CT98" s="158" t="n">
        <v>-3073.18214837221</v>
      </c>
      <c r="CU98" s="158" t="n">
        <v>-3073.18214837221</v>
      </c>
      <c r="CV98" s="158" t="n">
        <v>-3073.18214837221</v>
      </c>
      <c r="CW98" s="158" t="n">
        <v>-3073.18214837221</v>
      </c>
      <c r="CX98" s="158" t="n">
        <v>-3134.64579133965</v>
      </c>
      <c r="CY98" s="158" t="n">
        <v>-3134.64579133965</v>
      </c>
      <c r="CZ98" s="158" t="n">
        <v>-3134.64579133965</v>
      </c>
      <c r="DA98" s="158" t="n">
        <v>-3134.64579133965</v>
      </c>
      <c r="DB98" s="158" t="n">
        <v>-3134.64579133965</v>
      </c>
      <c r="DC98" s="158" t="n">
        <v>-3134.64579133965</v>
      </c>
      <c r="DD98" s="158" t="n">
        <v>-3134.64579133965</v>
      </c>
      <c r="DE98" s="158" t="n">
        <v>-3134.64579133965</v>
      </c>
      <c r="DF98" s="158" t="n">
        <v>-3134.64579133965</v>
      </c>
    </row>
    <row r="99" customFormat="false" ht="15" hidden="false" customHeight="true" outlineLevel="0" collapsed="false">
      <c r="A99" s="90" t="s">
        <v>81</v>
      </c>
      <c r="C99" s="104" t="n">
        <v>-28038</v>
      </c>
      <c r="D99" s="104" t="n">
        <v>-29387.5</v>
      </c>
      <c r="E99" s="104" t="n">
        <v>-28083</v>
      </c>
      <c r="F99" s="158" t="n">
        <v>-8625</v>
      </c>
      <c r="G99" s="158" t="n">
        <v>-8625</v>
      </c>
      <c r="H99" s="158" t="n">
        <v>-8625</v>
      </c>
      <c r="I99" s="158" t="n">
        <v>-8625</v>
      </c>
      <c r="J99" s="158" t="n">
        <v>-8625</v>
      </c>
      <c r="K99" s="158" t="n">
        <v>-8625</v>
      </c>
      <c r="L99" s="158" t="n">
        <v>-8625</v>
      </c>
      <c r="M99" s="158" t="n">
        <v>-8625</v>
      </c>
      <c r="N99" s="158" t="n">
        <v>-8625</v>
      </c>
      <c r="O99" s="158" t="n">
        <v>-8625</v>
      </c>
      <c r="P99" s="158" t="n">
        <v>-8625</v>
      </c>
      <c r="Q99" s="158" t="n">
        <v>-8625</v>
      </c>
      <c r="R99" s="158" t="n">
        <v>-8797.5</v>
      </c>
      <c r="S99" s="158" t="n">
        <v>-8797.5</v>
      </c>
      <c r="T99" s="158" t="n">
        <v>-8797.5</v>
      </c>
      <c r="U99" s="158" t="n">
        <v>-8797.5</v>
      </c>
      <c r="V99" s="158" t="n">
        <v>-8797.5</v>
      </c>
      <c r="W99" s="158" t="n">
        <v>-8797.5</v>
      </c>
      <c r="X99" s="158" t="n">
        <v>-8797.5</v>
      </c>
      <c r="Y99" s="158" t="n">
        <v>-8797.5</v>
      </c>
      <c r="Z99" s="158" t="n">
        <v>-8797.5</v>
      </c>
      <c r="AA99" s="158" t="n">
        <v>-8797.5</v>
      </c>
      <c r="AB99" s="158" t="n">
        <v>-8797.5</v>
      </c>
      <c r="AC99" s="158" t="n">
        <v>-8797.5</v>
      </c>
      <c r="AD99" s="158" t="n">
        <v>-8973.45</v>
      </c>
      <c r="AE99" s="158" t="n">
        <v>-8973.45</v>
      </c>
      <c r="AF99" s="158" t="n">
        <v>-8973.45</v>
      </c>
      <c r="AG99" s="158" t="n">
        <v>-8973.45</v>
      </c>
      <c r="AH99" s="158" t="n">
        <v>-8973.45</v>
      </c>
      <c r="AI99" s="158" t="n">
        <v>-8973.45</v>
      </c>
      <c r="AJ99" s="158" t="n">
        <v>-8973.45</v>
      </c>
      <c r="AK99" s="158" t="n">
        <v>-8973.45</v>
      </c>
      <c r="AL99" s="158" t="n">
        <v>-8973.45</v>
      </c>
      <c r="AM99" s="158" t="n">
        <v>-8973.45</v>
      </c>
      <c r="AN99" s="158" t="n">
        <v>-8973.45</v>
      </c>
      <c r="AO99" s="158" t="n">
        <v>-8973.45</v>
      </c>
      <c r="AP99" s="158" t="n">
        <v>-9152.919</v>
      </c>
      <c r="AQ99" s="158" t="n">
        <v>-9152.919</v>
      </c>
      <c r="AR99" s="158" t="n">
        <v>-9152.919</v>
      </c>
      <c r="AS99" s="158" t="n">
        <v>-9152.919</v>
      </c>
      <c r="AT99" s="158" t="n">
        <v>-9152.919</v>
      </c>
      <c r="AU99" s="158" t="n">
        <v>-9152.919</v>
      </c>
      <c r="AV99" s="158" t="n">
        <v>-9152.919</v>
      </c>
      <c r="AW99" s="158" t="n">
        <v>-9152.919</v>
      </c>
      <c r="AX99" s="158" t="n">
        <v>-9152.919</v>
      </c>
      <c r="AY99" s="158" t="n">
        <v>-9152.919</v>
      </c>
      <c r="AZ99" s="158" t="n">
        <v>-9152.919</v>
      </c>
      <c r="BA99" s="158" t="n">
        <v>-9152.919</v>
      </c>
      <c r="BB99" s="158" t="n">
        <v>-9335.97738</v>
      </c>
      <c r="BC99" s="158" t="n">
        <v>-9335.97738</v>
      </c>
      <c r="BD99" s="158" t="n">
        <v>-9335.97738</v>
      </c>
      <c r="BE99" s="158" t="n">
        <v>-9335.97738</v>
      </c>
      <c r="BF99" s="158" t="n">
        <v>-9335.97738</v>
      </c>
      <c r="BG99" s="158" t="n">
        <v>-9335.97738</v>
      </c>
      <c r="BH99" s="158" t="n">
        <v>-9335.97738</v>
      </c>
      <c r="BI99" s="158" t="n">
        <v>-9335.97738</v>
      </c>
      <c r="BJ99" s="158" t="n">
        <v>-9335.97738</v>
      </c>
      <c r="BK99" s="158" t="n">
        <v>-9335.97738</v>
      </c>
      <c r="BL99" s="158" t="n">
        <v>-9335.97738</v>
      </c>
      <c r="BM99" s="158" t="n">
        <v>-9335.97738</v>
      </c>
      <c r="BN99" s="158" t="n">
        <v>-9522.6969276</v>
      </c>
      <c r="BO99" s="158" t="n">
        <v>-9522.6969276</v>
      </c>
      <c r="BP99" s="158" t="n">
        <v>-9522.6969276</v>
      </c>
      <c r="BQ99" s="158" t="n">
        <v>-9522.6969276</v>
      </c>
      <c r="BR99" s="158" t="n">
        <v>-9522.6969276</v>
      </c>
      <c r="BS99" s="158" t="n">
        <v>-9522.6969276</v>
      </c>
      <c r="BT99" s="158" t="n">
        <v>-9522.6969276</v>
      </c>
      <c r="BU99" s="158" t="n">
        <v>-9522.6969276</v>
      </c>
      <c r="BV99" s="158" t="n">
        <v>-9522.6969276</v>
      </c>
      <c r="BW99" s="158" t="n">
        <v>-9522.6969276</v>
      </c>
      <c r="BX99" s="158" t="n">
        <v>-9522.6969276</v>
      </c>
      <c r="BY99" s="158" t="n">
        <v>-9522.6969276</v>
      </c>
      <c r="BZ99" s="158" t="n">
        <v>-9713.150866152</v>
      </c>
      <c r="CA99" s="158" t="n">
        <v>-9713.150866152</v>
      </c>
      <c r="CB99" s="158" t="n">
        <v>-9713.150866152</v>
      </c>
      <c r="CC99" s="158" t="n">
        <v>-9713.150866152</v>
      </c>
      <c r="CD99" s="158" t="n">
        <v>-9713.150866152</v>
      </c>
      <c r="CE99" s="158" t="n">
        <v>-9713.150866152</v>
      </c>
      <c r="CF99" s="158" t="n">
        <v>-9713.150866152</v>
      </c>
      <c r="CG99" s="158" t="n">
        <v>-9713.150866152</v>
      </c>
      <c r="CH99" s="158" t="n">
        <v>-9713.150866152</v>
      </c>
      <c r="CI99" s="158" t="n">
        <v>-9713.150866152</v>
      </c>
      <c r="CJ99" s="158" t="n">
        <v>-9713.150866152</v>
      </c>
      <c r="CK99" s="158" t="n">
        <v>-9713.150866152</v>
      </c>
      <c r="CL99" s="158" t="n">
        <v>-9907.41388347504</v>
      </c>
      <c r="CM99" s="158" t="n">
        <v>-9907.41388347504</v>
      </c>
      <c r="CN99" s="158" t="n">
        <v>-9907.41388347504</v>
      </c>
      <c r="CO99" s="158" t="n">
        <v>-9907.41388347504</v>
      </c>
      <c r="CP99" s="158" t="n">
        <v>-9907.41388347504</v>
      </c>
      <c r="CQ99" s="158" t="n">
        <v>-9907.41388347504</v>
      </c>
      <c r="CR99" s="158" t="n">
        <v>-9907.41388347504</v>
      </c>
      <c r="CS99" s="158" t="n">
        <v>-9907.41388347504</v>
      </c>
      <c r="CT99" s="158" t="n">
        <v>-9907.41388347504</v>
      </c>
      <c r="CU99" s="158" t="n">
        <v>-9907.41388347504</v>
      </c>
      <c r="CV99" s="158" t="n">
        <v>-9907.41388347504</v>
      </c>
      <c r="CW99" s="158" t="n">
        <v>-9907.41388347504</v>
      </c>
      <c r="CX99" s="158" t="n">
        <v>-10105.5621611445</v>
      </c>
      <c r="CY99" s="158" t="n">
        <v>-10105.5621611445</v>
      </c>
      <c r="CZ99" s="158" t="n">
        <v>-10105.5621611445</v>
      </c>
      <c r="DA99" s="158" t="n">
        <v>-10105.5621611445</v>
      </c>
      <c r="DB99" s="158" t="n">
        <v>-10105.5621611445</v>
      </c>
      <c r="DC99" s="158" t="n">
        <v>-10105.5621611445</v>
      </c>
      <c r="DD99" s="158" t="n">
        <v>-10105.5621611445</v>
      </c>
      <c r="DE99" s="158" t="n">
        <v>-10105.5621611445</v>
      </c>
      <c r="DF99" s="158" t="n">
        <v>-10105.5621611445</v>
      </c>
    </row>
    <row r="100" customFormat="false" ht="15" hidden="false" customHeight="true" outlineLevel="0" collapsed="false">
      <c r="A100" s="99" t="s">
        <v>130</v>
      </c>
      <c r="C100" s="159" t="n">
        <v>-268</v>
      </c>
      <c r="D100" s="159" t="n">
        <v>-2088.75</v>
      </c>
      <c r="E100" s="159" t="n">
        <v>-2401.75</v>
      </c>
      <c r="F100" s="159" t="n">
        <v>-1586.17</v>
      </c>
      <c r="G100" s="159" t="n">
        <v>-1586.17</v>
      </c>
      <c r="H100" s="159" t="n">
        <v>-1586.17</v>
      </c>
      <c r="I100" s="159" t="n">
        <v>-1586.17</v>
      </c>
      <c r="J100" s="159" t="n">
        <v>-1586.17</v>
      </c>
      <c r="K100" s="159" t="n">
        <v>-1586.17</v>
      </c>
      <c r="L100" s="159" t="n">
        <v>-1586.17</v>
      </c>
      <c r="M100" s="159" t="n">
        <v>-1586.17</v>
      </c>
      <c r="N100" s="159" t="n">
        <v>-1586.17</v>
      </c>
      <c r="O100" s="159" t="n">
        <v>-1586.17</v>
      </c>
      <c r="P100" s="159" t="n">
        <v>-1586.17</v>
      </c>
      <c r="Q100" s="159" t="n">
        <v>-1586.17</v>
      </c>
      <c r="R100" s="159" t="n">
        <v>-1617.8934</v>
      </c>
      <c r="S100" s="159" t="n">
        <v>-1617.8934</v>
      </c>
      <c r="T100" s="159" t="n">
        <v>-1617.8934</v>
      </c>
      <c r="U100" s="159" t="n">
        <v>-1617.8934</v>
      </c>
      <c r="V100" s="159" t="n">
        <v>-1617.8934</v>
      </c>
      <c r="W100" s="159" t="n">
        <v>-1617.8934</v>
      </c>
      <c r="X100" s="159" t="n">
        <v>-1617.8934</v>
      </c>
      <c r="Y100" s="159" t="n">
        <v>-1617.8934</v>
      </c>
      <c r="Z100" s="159" t="n">
        <v>-1617.8934</v>
      </c>
      <c r="AA100" s="159" t="n">
        <v>-1617.8934</v>
      </c>
      <c r="AB100" s="159" t="n">
        <v>-1617.8934</v>
      </c>
      <c r="AC100" s="159" t="n">
        <v>-1617.8934</v>
      </c>
      <c r="AD100" s="159" t="n">
        <v>-1650.251268</v>
      </c>
      <c r="AE100" s="159" t="n">
        <v>-1650.251268</v>
      </c>
      <c r="AF100" s="159" t="n">
        <v>-1650.251268</v>
      </c>
      <c r="AG100" s="159" t="n">
        <v>-1650.251268</v>
      </c>
      <c r="AH100" s="159" t="n">
        <v>-1650.251268</v>
      </c>
      <c r="AI100" s="159" t="n">
        <v>-1650.251268</v>
      </c>
      <c r="AJ100" s="159" t="n">
        <v>-1650.251268</v>
      </c>
      <c r="AK100" s="159" t="n">
        <v>-1650.251268</v>
      </c>
      <c r="AL100" s="159" t="n">
        <v>-1650.251268</v>
      </c>
      <c r="AM100" s="159" t="n">
        <v>-1650.251268</v>
      </c>
      <c r="AN100" s="159" t="n">
        <v>-1650.251268</v>
      </c>
      <c r="AO100" s="159" t="n">
        <v>-1650.251268</v>
      </c>
      <c r="AP100" s="159" t="n">
        <v>-1683.25629336</v>
      </c>
      <c r="AQ100" s="159" t="n">
        <v>-1683.25629336</v>
      </c>
      <c r="AR100" s="159" t="n">
        <v>-1683.25629336</v>
      </c>
      <c r="AS100" s="159" t="n">
        <v>-1683.25629336</v>
      </c>
      <c r="AT100" s="159" t="n">
        <v>-1683.25629336</v>
      </c>
      <c r="AU100" s="159" t="n">
        <v>-1683.25629336</v>
      </c>
      <c r="AV100" s="159" t="n">
        <v>-1683.25629336</v>
      </c>
      <c r="AW100" s="159" t="n">
        <v>-1683.25629336</v>
      </c>
      <c r="AX100" s="159" t="n">
        <v>-1683.25629336</v>
      </c>
      <c r="AY100" s="159" t="n">
        <v>-1683.25629336</v>
      </c>
      <c r="AZ100" s="159" t="n">
        <v>-1683.25629336</v>
      </c>
      <c r="BA100" s="159" t="n">
        <v>-1683.25629336</v>
      </c>
      <c r="BB100" s="159" t="n">
        <v>-1716.9214192272</v>
      </c>
      <c r="BC100" s="159" t="n">
        <v>-1716.9214192272</v>
      </c>
      <c r="BD100" s="159" t="n">
        <v>-1716.9214192272</v>
      </c>
      <c r="BE100" s="159" t="n">
        <v>-1716.9214192272</v>
      </c>
      <c r="BF100" s="159" t="n">
        <v>-1716.9214192272</v>
      </c>
      <c r="BG100" s="159" t="n">
        <v>-1716.9214192272</v>
      </c>
      <c r="BH100" s="159" t="n">
        <v>-1716.9214192272</v>
      </c>
      <c r="BI100" s="159" t="n">
        <v>-1716.9214192272</v>
      </c>
      <c r="BJ100" s="159" t="n">
        <v>-1716.9214192272</v>
      </c>
      <c r="BK100" s="159" t="n">
        <v>-1716.9214192272</v>
      </c>
      <c r="BL100" s="159" t="n">
        <v>-1716.9214192272</v>
      </c>
      <c r="BM100" s="159" t="n">
        <v>-1716.9214192272</v>
      </c>
      <c r="BN100" s="159" t="n">
        <v>-1751.25984761174</v>
      </c>
      <c r="BO100" s="159" t="n">
        <v>-1751.25984761174</v>
      </c>
      <c r="BP100" s="159" t="n">
        <v>-1751.25984761174</v>
      </c>
      <c r="BQ100" s="159" t="n">
        <v>-1751.25984761174</v>
      </c>
      <c r="BR100" s="159" t="n">
        <v>-1751.25984761174</v>
      </c>
      <c r="BS100" s="159" t="n">
        <v>-1751.25984761174</v>
      </c>
      <c r="BT100" s="159" t="n">
        <v>-1751.25984761174</v>
      </c>
      <c r="BU100" s="159" t="n">
        <v>-1751.25984761174</v>
      </c>
      <c r="BV100" s="159" t="n">
        <v>-1751.25984761174</v>
      </c>
      <c r="BW100" s="159" t="n">
        <v>-1751.25984761174</v>
      </c>
      <c r="BX100" s="159" t="n">
        <v>-1751.25984761174</v>
      </c>
      <c r="BY100" s="159" t="n">
        <v>-1751.25984761174</v>
      </c>
      <c r="BZ100" s="159" t="n">
        <v>-1786.28504456398</v>
      </c>
      <c r="CA100" s="159" t="n">
        <v>-1786.28504456398</v>
      </c>
      <c r="CB100" s="159" t="n">
        <v>-1786.28504456398</v>
      </c>
      <c r="CC100" s="159" t="n">
        <v>-1786.28504456398</v>
      </c>
      <c r="CD100" s="159" t="n">
        <v>-1786.28504456398</v>
      </c>
      <c r="CE100" s="159" t="n">
        <v>-1786.28504456398</v>
      </c>
      <c r="CF100" s="159" t="n">
        <v>-1786.28504456398</v>
      </c>
      <c r="CG100" s="159" t="n">
        <v>-1786.28504456398</v>
      </c>
      <c r="CH100" s="159" t="n">
        <v>-1786.28504456398</v>
      </c>
      <c r="CI100" s="159" t="n">
        <v>-1786.28504456398</v>
      </c>
      <c r="CJ100" s="159" t="n">
        <v>-1786.28504456398</v>
      </c>
      <c r="CK100" s="159" t="n">
        <v>-1786.28504456398</v>
      </c>
      <c r="CL100" s="159" t="n">
        <v>-1822.01074545526</v>
      </c>
      <c r="CM100" s="159" t="n">
        <v>-1822.01074545526</v>
      </c>
      <c r="CN100" s="159" t="n">
        <v>-1822.01074545526</v>
      </c>
      <c r="CO100" s="159" t="n">
        <v>-1822.01074545526</v>
      </c>
      <c r="CP100" s="159" t="n">
        <v>-1822.01074545526</v>
      </c>
      <c r="CQ100" s="159" t="n">
        <v>-1822.01074545526</v>
      </c>
      <c r="CR100" s="159" t="n">
        <v>-1822.01074545526</v>
      </c>
      <c r="CS100" s="159" t="n">
        <v>-1822.01074545526</v>
      </c>
      <c r="CT100" s="159" t="n">
        <v>-1822.01074545526</v>
      </c>
      <c r="CU100" s="159" t="n">
        <v>-1822.01074545526</v>
      </c>
      <c r="CV100" s="159" t="n">
        <v>-1822.01074545526</v>
      </c>
      <c r="CW100" s="159" t="n">
        <v>-1822.01074545526</v>
      </c>
      <c r="CX100" s="159" t="n">
        <v>-1858.45096036436</v>
      </c>
      <c r="CY100" s="159" t="n">
        <v>-1858.45096036436</v>
      </c>
      <c r="CZ100" s="159" t="n">
        <v>-1858.45096036436</v>
      </c>
      <c r="DA100" s="159" t="n">
        <v>-1858.45096036436</v>
      </c>
      <c r="DB100" s="159" t="n">
        <v>-1858.45096036436</v>
      </c>
      <c r="DC100" s="159" t="n">
        <v>-1858.45096036436</v>
      </c>
      <c r="DD100" s="159" t="n">
        <v>-1858.45096036436</v>
      </c>
      <c r="DE100" s="159" t="n">
        <v>-1858.45096036436</v>
      </c>
      <c r="DF100" s="159" t="n">
        <v>-1858.45096036436</v>
      </c>
    </row>
    <row r="101" customFormat="false" ht="15" hidden="false" customHeight="true" outlineLevel="0" collapsed="false">
      <c r="A101" s="99" t="s">
        <v>131</v>
      </c>
      <c r="C101" s="159" t="n">
        <v>-341.83</v>
      </c>
      <c r="D101" s="159" t="n">
        <v>-728</v>
      </c>
      <c r="E101" s="159" t="n">
        <v>-15256.75</v>
      </c>
      <c r="F101" s="159" t="n">
        <v>-5442.19</v>
      </c>
      <c r="G101" s="159" t="n">
        <v>-5442.19</v>
      </c>
      <c r="H101" s="159" t="n">
        <v>-5442.19</v>
      </c>
      <c r="I101" s="159" t="n">
        <v>-5442.19</v>
      </c>
      <c r="J101" s="159" t="n">
        <v>-5442.19</v>
      </c>
      <c r="K101" s="159" t="n">
        <v>-5442.19</v>
      </c>
      <c r="L101" s="159" t="n">
        <v>-5442.19</v>
      </c>
      <c r="M101" s="159" t="n">
        <v>-5442.19</v>
      </c>
      <c r="N101" s="159" t="n">
        <v>-5442.19</v>
      </c>
      <c r="O101" s="159" t="n">
        <v>-5442.19</v>
      </c>
      <c r="P101" s="159" t="n">
        <v>-5442.19</v>
      </c>
      <c r="Q101" s="159" t="n">
        <v>-5442.19</v>
      </c>
      <c r="R101" s="159" t="n">
        <v>-5551.0338</v>
      </c>
      <c r="S101" s="159" t="n">
        <v>-5551.0338</v>
      </c>
      <c r="T101" s="159" t="n">
        <v>-5551.0338</v>
      </c>
      <c r="U101" s="159" t="n">
        <v>-5551.0338</v>
      </c>
      <c r="V101" s="159" t="n">
        <v>-5551.0338</v>
      </c>
      <c r="W101" s="159" t="n">
        <v>-5551.0338</v>
      </c>
      <c r="X101" s="159" t="n">
        <v>-5551.0338</v>
      </c>
      <c r="Y101" s="159" t="n">
        <v>-5551.0338</v>
      </c>
      <c r="Z101" s="159" t="n">
        <v>-5551.0338</v>
      </c>
      <c r="AA101" s="159" t="n">
        <v>-5551.0338</v>
      </c>
      <c r="AB101" s="159" t="n">
        <v>-5551.0338</v>
      </c>
      <c r="AC101" s="159" t="n">
        <v>-5551.0338</v>
      </c>
      <c r="AD101" s="159" t="n">
        <v>-5662.054476</v>
      </c>
      <c r="AE101" s="159" t="n">
        <v>-5662.054476</v>
      </c>
      <c r="AF101" s="159" t="n">
        <v>-5662.054476</v>
      </c>
      <c r="AG101" s="159" t="n">
        <v>-5662.054476</v>
      </c>
      <c r="AH101" s="159" t="n">
        <v>-5662.054476</v>
      </c>
      <c r="AI101" s="159" t="n">
        <v>-5662.054476</v>
      </c>
      <c r="AJ101" s="159" t="n">
        <v>-5662.054476</v>
      </c>
      <c r="AK101" s="159" t="n">
        <v>-5662.054476</v>
      </c>
      <c r="AL101" s="159" t="n">
        <v>-5662.054476</v>
      </c>
      <c r="AM101" s="159" t="n">
        <v>-5662.054476</v>
      </c>
      <c r="AN101" s="159" t="n">
        <v>-5662.054476</v>
      </c>
      <c r="AO101" s="159" t="n">
        <v>-5662.054476</v>
      </c>
      <c r="AP101" s="159" t="n">
        <v>-5775.29556552</v>
      </c>
      <c r="AQ101" s="159" t="n">
        <v>-5775.29556552</v>
      </c>
      <c r="AR101" s="159" t="n">
        <v>-5775.29556552</v>
      </c>
      <c r="AS101" s="159" t="n">
        <v>-5775.29556552</v>
      </c>
      <c r="AT101" s="159" t="n">
        <v>-5775.29556552</v>
      </c>
      <c r="AU101" s="159" t="n">
        <v>-5775.29556552</v>
      </c>
      <c r="AV101" s="159" t="n">
        <v>-5775.29556552</v>
      </c>
      <c r="AW101" s="159" t="n">
        <v>-5775.29556552</v>
      </c>
      <c r="AX101" s="159" t="n">
        <v>-5775.29556552</v>
      </c>
      <c r="AY101" s="159" t="n">
        <v>-5775.29556552</v>
      </c>
      <c r="AZ101" s="159" t="n">
        <v>-5775.29556552</v>
      </c>
      <c r="BA101" s="159" t="n">
        <v>-5775.29556552</v>
      </c>
      <c r="BB101" s="159" t="n">
        <v>-5890.8014768304</v>
      </c>
      <c r="BC101" s="159" t="n">
        <v>-5890.8014768304</v>
      </c>
      <c r="BD101" s="159" t="n">
        <v>-5890.8014768304</v>
      </c>
      <c r="BE101" s="159" t="n">
        <v>-5890.8014768304</v>
      </c>
      <c r="BF101" s="159" t="n">
        <v>-5890.8014768304</v>
      </c>
      <c r="BG101" s="159" t="n">
        <v>-5890.8014768304</v>
      </c>
      <c r="BH101" s="159" t="n">
        <v>-5890.8014768304</v>
      </c>
      <c r="BI101" s="159" t="n">
        <v>-5890.8014768304</v>
      </c>
      <c r="BJ101" s="159" t="n">
        <v>-5890.8014768304</v>
      </c>
      <c r="BK101" s="159" t="n">
        <v>-5890.8014768304</v>
      </c>
      <c r="BL101" s="159" t="n">
        <v>-5890.8014768304</v>
      </c>
      <c r="BM101" s="159" t="n">
        <v>-5890.8014768304</v>
      </c>
      <c r="BN101" s="159" t="n">
        <v>-6008.61750636701</v>
      </c>
      <c r="BO101" s="159" t="n">
        <v>-6008.61750636701</v>
      </c>
      <c r="BP101" s="159" t="n">
        <v>-6008.61750636701</v>
      </c>
      <c r="BQ101" s="159" t="n">
        <v>-6008.61750636701</v>
      </c>
      <c r="BR101" s="159" t="n">
        <v>-6008.61750636701</v>
      </c>
      <c r="BS101" s="159" t="n">
        <v>-6008.61750636701</v>
      </c>
      <c r="BT101" s="159" t="n">
        <v>-6008.61750636701</v>
      </c>
      <c r="BU101" s="159" t="n">
        <v>-6008.61750636701</v>
      </c>
      <c r="BV101" s="159" t="n">
        <v>-6008.61750636701</v>
      </c>
      <c r="BW101" s="159" t="n">
        <v>-6008.61750636701</v>
      </c>
      <c r="BX101" s="159" t="n">
        <v>-6008.61750636701</v>
      </c>
      <c r="BY101" s="159" t="n">
        <v>-6008.61750636701</v>
      </c>
      <c r="BZ101" s="159" t="n">
        <v>-6128.78985649435</v>
      </c>
      <c r="CA101" s="159" t="n">
        <v>-6128.78985649435</v>
      </c>
      <c r="CB101" s="159" t="n">
        <v>-6128.78985649435</v>
      </c>
      <c r="CC101" s="159" t="n">
        <v>-6128.78985649435</v>
      </c>
      <c r="CD101" s="159" t="n">
        <v>-6128.78985649435</v>
      </c>
      <c r="CE101" s="159" t="n">
        <v>-6128.78985649435</v>
      </c>
      <c r="CF101" s="159" t="n">
        <v>-6128.78985649435</v>
      </c>
      <c r="CG101" s="159" t="n">
        <v>-6128.78985649435</v>
      </c>
      <c r="CH101" s="159" t="n">
        <v>-6128.78985649435</v>
      </c>
      <c r="CI101" s="159" t="n">
        <v>-6128.78985649435</v>
      </c>
      <c r="CJ101" s="159" t="n">
        <v>-6128.78985649435</v>
      </c>
      <c r="CK101" s="159" t="n">
        <v>-6128.78985649435</v>
      </c>
      <c r="CL101" s="159" t="n">
        <v>-6251.36565362424</v>
      </c>
      <c r="CM101" s="159" t="n">
        <v>-6251.36565362424</v>
      </c>
      <c r="CN101" s="159" t="n">
        <v>-6251.36565362424</v>
      </c>
      <c r="CO101" s="159" t="n">
        <v>-6251.36565362424</v>
      </c>
      <c r="CP101" s="159" t="n">
        <v>-6251.36565362424</v>
      </c>
      <c r="CQ101" s="159" t="n">
        <v>-6251.36565362424</v>
      </c>
      <c r="CR101" s="159" t="n">
        <v>-6251.36565362424</v>
      </c>
      <c r="CS101" s="159" t="n">
        <v>-6251.36565362424</v>
      </c>
      <c r="CT101" s="159" t="n">
        <v>-6251.36565362424</v>
      </c>
      <c r="CU101" s="159" t="n">
        <v>-6251.36565362424</v>
      </c>
      <c r="CV101" s="159" t="n">
        <v>-6251.36565362424</v>
      </c>
      <c r="CW101" s="159" t="n">
        <v>-6251.36565362424</v>
      </c>
      <c r="CX101" s="159" t="n">
        <v>-6376.39296669672</v>
      </c>
      <c r="CY101" s="159" t="n">
        <v>-6376.39296669672</v>
      </c>
      <c r="CZ101" s="159" t="n">
        <v>-6376.39296669672</v>
      </c>
      <c r="DA101" s="159" t="n">
        <v>-6376.39296669672</v>
      </c>
      <c r="DB101" s="159" t="n">
        <v>-6376.39296669672</v>
      </c>
      <c r="DC101" s="159" t="n">
        <v>-6376.39296669672</v>
      </c>
      <c r="DD101" s="159" t="n">
        <v>-6376.39296669672</v>
      </c>
      <c r="DE101" s="159" t="n">
        <v>-6376.39296669672</v>
      </c>
      <c r="DF101" s="159" t="n">
        <v>-6376.39296669672</v>
      </c>
    </row>
    <row r="102" customFormat="false" ht="15" hidden="false" customHeight="true" outlineLevel="0" collapsed="false">
      <c r="A102" s="106" t="s">
        <v>132</v>
      </c>
      <c r="C102" s="159" t="n">
        <v>-1905.31</v>
      </c>
      <c r="D102" s="159" t="n">
        <v>-1905.31</v>
      </c>
      <c r="E102" s="159" t="n">
        <v>-1905.31</v>
      </c>
      <c r="F102" s="159" t="n">
        <v>-1905.31</v>
      </c>
      <c r="G102" s="159" t="n">
        <v>-1905.31</v>
      </c>
      <c r="H102" s="159" t="n">
        <v>-1905.31</v>
      </c>
      <c r="I102" s="159" t="n">
        <v>-1905.31</v>
      </c>
      <c r="J102" s="159" t="n">
        <v>-1905.31</v>
      </c>
      <c r="K102" s="159" t="n">
        <v>-1905.31</v>
      </c>
      <c r="L102" s="159" t="n">
        <v>-1905.31</v>
      </c>
      <c r="M102" s="159" t="n">
        <v>-1905.31</v>
      </c>
      <c r="N102" s="159" t="n">
        <v>-1905.31</v>
      </c>
      <c r="O102" s="159" t="n">
        <v>-1905.31</v>
      </c>
      <c r="P102" s="159" t="n">
        <v>-1905.31</v>
      </c>
      <c r="Q102" s="159" t="n">
        <v>-1905.31</v>
      </c>
      <c r="R102" s="159" t="n">
        <v>-1943.4162</v>
      </c>
      <c r="S102" s="159" t="n">
        <v>-1943.4162</v>
      </c>
      <c r="T102" s="159" t="n">
        <v>-1943.4162</v>
      </c>
      <c r="U102" s="159" t="n">
        <v>-1943.4162</v>
      </c>
      <c r="V102" s="159" t="n">
        <v>-1943.4162</v>
      </c>
      <c r="W102" s="159" t="n">
        <v>-1943.4162</v>
      </c>
      <c r="X102" s="159" t="n">
        <v>-1943.4162</v>
      </c>
      <c r="Y102" s="159" t="n">
        <v>-1943.4162</v>
      </c>
      <c r="Z102" s="159" t="n">
        <v>-1943.4162</v>
      </c>
      <c r="AA102" s="159" t="n">
        <v>-1943.4162</v>
      </c>
      <c r="AB102" s="159" t="n">
        <v>-1943.4162</v>
      </c>
      <c r="AC102" s="159" t="n">
        <v>-1943.4162</v>
      </c>
      <c r="AD102" s="159" t="n">
        <v>-1982.284524</v>
      </c>
      <c r="AE102" s="159" t="n">
        <v>-1982.284524</v>
      </c>
      <c r="AF102" s="159" t="n">
        <v>-1982.284524</v>
      </c>
      <c r="AG102" s="159" t="n">
        <v>-1982.284524</v>
      </c>
      <c r="AH102" s="159" t="n">
        <v>-1982.284524</v>
      </c>
      <c r="AI102" s="159" t="n">
        <v>-1982.284524</v>
      </c>
      <c r="AJ102" s="159" t="n">
        <v>-1982.284524</v>
      </c>
      <c r="AK102" s="159" t="n">
        <v>-1982.284524</v>
      </c>
      <c r="AL102" s="159" t="n">
        <v>-1982.284524</v>
      </c>
      <c r="AM102" s="159" t="n">
        <v>-1982.284524</v>
      </c>
      <c r="AN102" s="159" t="n">
        <v>-1982.284524</v>
      </c>
      <c r="AO102" s="159" t="n">
        <v>-1982.284524</v>
      </c>
      <c r="AP102" s="159" t="n">
        <v>-2021.93021448</v>
      </c>
      <c r="AQ102" s="159" t="n">
        <v>-2021.93021448</v>
      </c>
      <c r="AR102" s="159" t="n">
        <v>-2021.93021448</v>
      </c>
      <c r="AS102" s="159" t="n">
        <v>-2021.93021448</v>
      </c>
      <c r="AT102" s="159" t="n">
        <v>-2021.93021448</v>
      </c>
      <c r="AU102" s="159" t="n">
        <v>-2021.93021448</v>
      </c>
      <c r="AV102" s="159" t="n">
        <v>-2021.93021448</v>
      </c>
      <c r="AW102" s="159" t="n">
        <v>-2021.93021448</v>
      </c>
      <c r="AX102" s="159" t="n">
        <v>-2021.93021448</v>
      </c>
      <c r="AY102" s="159" t="n">
        <v>-2021.93021448</v>
      </c>
      <c r="AZ102" s="159" t="n">
        <v>-2021.93021448</v>
      </c>
      <c r="BA102" s="159" t="n">
        <v>-2021.93021448</v>
      </c>
      <c r="BB102" s="159" t="n">
        <v>-2062.3688187696</v>
      </c>
      <c r="BC102" s="159" t="n">
        <v>-2062.3688187696</v>
      </c>
      <c r="BD102" s="159" t="n">
        <v>-2062.3688187696</v>
      </c>
      <c r="BE102" s="159" t="n">
        <v>-2062.3688187696</v>
      </c>
      <c r="BF102" s="159" t="n">
        <v>-2062.3688187696</v>
      </c>
      <c r="BG102" s="159" t="n">
        <v>-2062.3688187696</v>
      </c>
      <c r="BH102" s="159" t="n">
        <v>-2062.3688187696</v>
      </c>
      <c r="BI102" s="159" t="n">
        <v>-2062.3688187696</v>
      </c>
      <c r="BJ102" s="159" t="n">
        <v>-2062.3688187696</v>
      </c>
      <c r="BK102" s="159" t="n">
        <v>-2062.3688187696</v>
      </c>
      <c r="BL102" s="159" t="n">
        <v>-2062.3688187696</v>
      </c>
      <c r="BM102" s="159" t="n">
        <v>-2062.3688187696</v>
      </c>
      <c r="BN102" s="159" t="n">
        <v>-2103.61619514499</v>
      </c>
      <c r="BO102" s="159" t="n">
        <v>-2103.61619514499</v>
      </c>
      <c r="BP102" s="159" t="n">
        <v>-2103.61619514499</v>
      </c>
      <c r="BQ102" s="159" t="n">
        <v>-2103.61619514499</v>
      </c>
      <c r="BR102" s="159" t="n">
        <v>-2103.61619514499</v>
      </c>
      <c r="BS102" s="159" t="n">
        <v>-2103.61619514499</v>
      </c>
      <c r="BT102" s="159" t="n">
        <v>-2103.61619514499</v>
      </c>
      <c r="BU102" s="159" t="n">
        <v>-2103.61619514499</v>
      </c>
      <c r="BV102" s="159" t="n">
        <v>-2103.61619514499</v>
      </c>
      <c r="BW102" s="159" t="n">
        <v>-2103.61619514499</v>
      </c>
      <c r="BX102" s="159" t="n">
        <v>-2103.61619514499</v>
      </c>
      <c r="BY102" s="159" t="n">
        <v>-2103.61619514499</v>
      </c>
      <c r="BZ102" s="159" t="n">
        <v>-2145.68851904789</v>
      </c>
      <c r="CA102" s="159" t="n">
        <v>-2145.68851904789</v>
      </c>
      <c r="CB102" s="159" t="n">
        <v>-2145.68851904789</v>
      </c>
      <c r="CC102" s="159" t="n">
        <v>-2145.68851904789</v>
      </c>
      <c r="CD102" s="159" t="n">
        <v>-2145.68851904789</v>
      </c>
      <c r="CE102" s="159" t="n">
        <v>-2145.68851904789</v>
      </c>
      <c r="CF102" s="159" t="n">
        <v>-2145.68851904789</v>
      </c>
      <c r="CG102" s="159" t="n">
        <v>-2145.68851904789</v>
      </c>
      <c r="CH102" s="159" t="n">
        <v>-2145.68851904789</v>
      </c>
      <c r="CI102" s="159" t="n">
        <v>-2145.68851904789</v>
      </c>
      <c r="CJ102" s="159" t="n">
        <v>-2145.68851904789</v>
      </c>
      <c r="CK102" s="159" t="n">
        <v>-2145.68851904789</v>
      </c>
      <c r="CL102" s="159" t="n">
        <v>-2188.60228942885</v>
      </c>
      <c r="CM102" s="159" t="n">
        <v>-2188.60228942885</v>
      </c>
      <c r="CN102" s="159" t="n">
        <v>-2188.60228942885</v>
      </c>
      <c r="CO102" s="159" t="n">
        <v>-2188.60228942885</v>
      </c>
      <c r="CP102" s="159" t="n">
        <v>-2188.60228942885</v>
      </c>
      <c r="CQ102" s="159" t="n">
        <v>-2188.60228942885</v>
      </c>
      <c r="CR102" s="159" t="n">
        <v>-2188.60228942885</v>
      </c>
      <c r="CS102" s="159" t="n">
        <v>-2188.60228942885</v>
      </c>
      <c r="CT102" s="159" t="n">
        <v>-2188.60228942885</v>
      </c>
      <c r="CU102" s="159" t="n">
        <v>-2188.60228942885</v>
      </c>
      <c r="CV102" s="159" t="n">
        <v>-2188.60228942885</v>
      </c>
      <c r="CW102" s="159" t="n">
        <v>-2188.60228942885</v>
      </c>
      <c r="CX102" s="159" t="n">
        <v>-2232.37433521743</v>
      </c>
      <c r="CY102" s="159" t="n">
        <v>-2232.37433521743</v>
      </c>
      <c r="CZ102" s="159" t="n">
        <v>-2232.37433521743</v>
      </c>
      <c r="DA102" s="159" t="n">
        <v>-2232.37433521743</v>
      </c>
      <c r="DB102" s="159" t="n">
        <v>-2232.37433521743</v>
      </c>
      <c r="DC102" s="159" t="n">
        <v>-2232.37433521743</v>
      </c>
      <c r="DD102" s="159" t="n">
        <v>-2232.37433521743</v>
      </c>
      <c r="DE102" s="159" t="n">
        <v>-2232.37433521743</v>
      </c>
      <c r="DF102" s="159" t="n">
        <v>-2232.37433521743</v>
      </c>
    </row>
    <row r="103" customFormat="false" ht="15" hidden="false" customHeight="true" outlineLevel="0" collapsed="false">
      <c r="A103" s="106" t="s">
        <v>133</v>
      </c>
      <c r="C103" s="159" t="n">
        <v>-2100</v>
      </c>
      <c r="D103" s="159" t="n">
        <v>-2100</v>
      </c>
      <c r="E103" s="159" t="n">
        <v>-2100</v>
      </c>
      <c r="F103" s="159" t="n">
        <v>-2100</v>
      </c>
      <c r="G103" s="159" t="n">
        <v>-2100</v>
      </c>
      <c r="H103" s="159" t="n">
        <v>-2100</v>
      </c>
      <c r="I103" s="159" t="n">
        <v>-2100</v>
      </c>
      <c r="J103" s="159" t="n">
        <v>-2100</v>
      </c>
      <c r="K103" s="159" t="n">
        <v>-2100</v>
      </c>
      <c r="L103" s="159" t="n">
        <v>-2100</v>
      </c>
      <c r="M103" s="159" t="n">
        <v>-2100</v>
      </c>
      <c r="N103" s="159" t="n">
        <v>-2100</v>
      </c>
      <c r="O103" s="159" t="n">
        <v>-2100</v>
      </c>
      <c r="P103" s="159" t="n">
        <v>-2100</v>
      </c>
      <c r="Q103" s="159" t="n">
        <v>-2100</v>
      </c>
      <c r="R103" s="159" t="n">
        <v>-2142</v>
      </c>
      <c r="S103" s="159" t="n">
        <v>-2142</v>
      </c>
      <c r="T103" s="159" t="n">
        <v>-2142</v>
      </c>
      <c r="U103" s="159" t="n">
        <v>-2142</v>
      </c>
      <c r="V103" s="159" t="n">
        <v>-2142</v>
      </c>
      <c r="W103" s="159" t="n">
        <v>-2142</v>
      </c>
      <c r="X103" s="159" t="n">
        <v>-2142</v>
      </c>
      <c r="Y103" s="159" t="n">
        <v>-2142</v>
      </c>
      <c r="Z103" s="159" t="n">
        <v>-2142</v>
      </c>
      <c r="AA103" s="159" t="n">
        <v>-2142</v>
      </c>
      <c r="AB103" s="159" t="n">
        <v>-2142</v>
      </c>
      <c r="AC103" s="159" t="n">
        <v>-2142</v>
      </c>
      <c r="AD103" s="159" t="n">
        <v>-2184.84</v>
      </c>
      <c r="AE103" s="159" t="n">
        <v>-2184.84</v>
      </c>
      <c r="AF103" s="159" t="n">
        <v>-2184.84</v>
      </c>
      <c r="AG103" s="159" t="n">
        <v>-2184.84</v>
      </c>
      <c r="AH103" s="159" t="n">
        <v>-2184.84</v>
      </c>
      <c r="AI103" s="159" t="n">
        <v>-2184.84</v>
      </c>
      <c r="AJ103" s="159" t="n">
        <v>-2184.84</v>
      </c>
      <c r="AK103" s="159" t="n">
        <v>-2184.84</v>
      </c>
      <c r="AL103" s="159" t="n">
        <v>-2184.84</v>
      </c>
      <c r="AM103" s="159" t="n">
        <v>-2184.84</v>
      </c>
      <c r="AN103" s="159" t="n">
        <v>-2184.84</v>
      </c>
      <c r="AO103" s="159" t="n">
        <v>-2184.84</v>
      </c>
      <c r="AP103" s="159" t="n">
        <v>-2228.5368</v>
      </c>
      <c r="AQ103" s="159" t="n">
        <v>-2228.5368</v>
      </c>
      <c r="AR103" s="159" t="n">
        <v>-2228.5368</v>
      </c>
      <c r="AS103" s="159" t="n">
        <v>-2228.5368</v>
      </c>
      <c r="AT103" s="159" t="n">
        <v>-2228.5368</v>
      </c>
      <c r="AU103" s="159" t="n">
        <v>-2228.5368</v>
      </c>
      <c r="AV103" s="159" t="n">
        <v>-2228.5368</v>
      </c>
      <c r="AW103" s="159" t="n">
        <v>-2228.5368</v>
      </c>
      <c r="AX103" s="159" t="n">
        <v>-2228.5368</v>
      </c>
      <c r="AY103" s="159" t="n">
        <v>-2228.5368</v>
      </c>
      <c r="AZ103" s="159" t="n">
        <v>-2228.5368</v>
      </c>
      <c r="BA103" s="159" t="n">
        <v>-2228.5368</v>
      </c>
      <c r="BB103" s="159" t="n">
        <v>-2273.107536</v>
      </c>
      <c r="BC103" s="159" t="n">
        <v>-2273.107536</v>
      </c>
      <c r="BD103" s="159" t="n">
        <v>-2273.107536</v>
      </c>
      <c r="BE103" s="159" t="n">
        <v>-2273.107536</v>
      </c>
      <c r="BF103" s="159" t="n">
        <v>-2273.107536</v>
      </c>
      <c r="BG103" s="159" t="n">
        <v>-2273.107536</v>
      </c>
      <c r="BH103" s="159" t="n">
        <v>-2273.107536</v>
      </c>
      <c r="BI103" s="159" t="n">
        <v>-2273.107536</v>
      </c>
      <c r="BJ103" s="159" t="n">
        <v>-2273.107536</v>
      </c>
      <c r="BK103" s="159" t="n">
        <v>-2273.107536</v>
      </c>
      <c r="BL103" s="159" t="n">
        <v>-2273.107536</v>
      </c>
      <c r="BM103" s="159" t="n">
        <v>-2273.107536</v>
      </c>
      <c r="BN103" s="159" t="n">
        <v>-2318.56968672</v>
      </c>
      <c r="BO103" s="159" t="n">
        <v>-2318.56968672</v>
      </c>
      <c r="BP103" s="159" t="n">
        <v>-2318.56968672</v>
      </c>
      <c r="BQ103" s="159" t="n">
        <v>-2318.56968672</v>
      </c>
      <c r="BR103" s="159" t="n">
        <v>-2318.56968672</v>
      </c>
      <c r="BS103" s="159" t="n">
        <v>-2318.56968672</v>
      </c>
      <c r="BT103" s="159" t="n">
        <v>-2318.56968672</v>
      </c>
      <c r="BU103" s="159" t="n">
        <v>-2318.56968672</v>
      </c>
      <c r="BV103" s="159" t="n">
        <v>-2318.56968672</v>
      </c>
      <c r="BW103" s="159" t="n">
        <v>-2318.56968672</v>
      </c>
      <c r="BX103" s="159" t="n">
        <v>-2318.56968672</v>
      </c>
      <c r="BY103" s="159" t="n">
        <v>-2318.56968672</v>
      </c>
      <c r="BZ103" s="159" t="n">
        <v>-2364.9410804544</v>
      </c>
      <c r="CA103" s="159" t="n">
        <v>-2364.9410804544</v>
      </c>
      <c r="CB103" s="159" t="n">
        <v>-2364.9410804544</v>
      </c>
      <c r="CC103" s="159" t="n">
        <v>-2364.9410804544</v>
      </c>
      <c r="CD103" s="159" t="n">
        <v>-2364.9410804544</v>
      </c>
      <c r="CE103" s="159" t="n">
        <v>-2364.9410804544</v>
      </c>
      <c r="CF103" s="159" t="n">
        <v>-2364.9410804544</v>
      </c>
      <c r="CG103" s="159" t="n">
        <v>-2364.9410804544</v>
      </c>
      <c r="CH103" s="159" t="n">
        <v>-2364.9410804544</v>
      </c>
      <c r="CI103" s="159" t="n">
        <v>-2364.9410804544</v>
      </c>
      <c r="CJ103" s="159" t="n">
        <v>-2364.9410804544</v>
      </c>
      <c r="CK103" s="159" t="n">
        <v>-2364.9410804544</v>
      </c>
      <c r="CL103" s="159" t="n">
        <v>-2412.23990206349</v>
      </c>
      <c r="CM103" s="159" t="n">
        <v>-2412.23990206349</v>
      </c>
      <c r="CN103" s="159" t="n">
        <v>-2412.23990206349</v>
      </c>
      <c r="CO103" s="159" t="n">
        <v>-2412.23990206349</v>
      </c>
      <c r="CP103" s="159" t="n">
        <v>-2412.23990206349</v>
      </c>
      <c r="CQ103" s="159" t="n">
        <v>-2412.23990206349</v>
      </c>
      <c r="CR103" s="159" t="n">
        <v>-2412.23990206349</v>
      </c>
      <c r="CS103" s="159" t="n">
        <v>-2412.23990206349</v>
      </c>
      <c r="CT103" s="159" t="n">
        <v>-2412.23990206349</v>
      </c>
      <c r="CU103" s="159" t="n">
        <v>-2412.23990206349</v>
      </c>
      <c r="CV103" s="159" t="n">
        <v>-2412.23990206349</v>
      </c>
      <c r="CW103" s="159" t="n">
        <v>-2412.23990206349</v>
      </c>
      <c r="CX103" s="159" t="n">
        <v>-2460.48470010476</v>
      </c>
      <c r="CY103" s="159" t="n">
        <v>-2460.48470010476</v>
      </c>
      <c r="CZ103" s="159" t="n">
        <v>-2460.48470010476</v>
      </c>
      <c r="DA103" s="159" t="n">
        <v>-2460.48470010476</v>
      </c>
      <c r="DB103" s="159" t="n">
        <v>-2460.48470010476</v>
      </c>
      <c r="DC103" s="159" t="n">
        <v>-2460.48470010476</v>
      </c>
      <c r="DD103" s="159" t="n">
        <v>-2460.48470010476</v>
      </c>
      <c r="DE103" s="159" t="n">
        <v>-2460.48470010476</v>
      </c>
      <c r="DF103" s="159" t="n">
        <v>-2460.48470010476</v>
      </c>
    </row>
    <row r="104" customFormat="false" ht="15" hidden="false" customHeight="true" outlineLevel="0" collapsed="false">
      <c r="A104" s="106" t="s">
        <v>84</v>
      </c>
      <c r="C104" s="159" t="n">
        <v>-66666.66</v>
      </c>
      <c r="D104" s="159" t="n">
        <v>-66666.66</v>
      </c>
      <c r="E104" s="159" t="n">
        <v>-66666.66</v>
      </c>
      <c r="F104" s="159" t="n">
        <v>-25000</v>
      </c>
      <c r="G104" s="159" t="n">
        <v>-25000</v>
      </c>
      <c r="H104" s="159" t="n">
        <v>-25000</v>
      </c>
      <c r="I104" s="159" t="n">
        <v>-25000</v>
      </c>
      <c r="J104" s="159" t="n">
        <v>-25000</v>
      </c>
      <c r="K104" s="159" t="n">
        <v>-25000</v>
      </c>
      <c r="L104" s="159" t="n">
        <v>-25000</v>
      </c>
      <c r="M104" s="159" t="n">
        <v>-25000</v>
      </c>
      <c r="N104" s="159" t="n">
        <v>-25000</v>
      </c>
      <c r="O104" s="159" t="n">
        <v>-25000</v>
      </c>
      <c r="P104" s="159" t="n">
        <v>-25000</v>
      </c>
      <c r="Q104" s="159" t="n">
        <v>-25000</v>
      </c>
      <c r="R104" s="159" t="n">
        <v>-25500</v>
      </c>
      <c r="S104" s="159" t="n">
        <v>-25500</v>
      </c>
      <c r="T104" s="159" t="n">
        <v>-25500</v>
      </c>
      <c r="U104" s="159" t="n">
        <v>-25500</v>
      </c>
      <c r="V104" s="159" t="n">
        <v>-25500</v>
      </c>
      <c r="W104" s="159" t="n">
        <v>-25500</v>
      </c>
      <c r="X104" s="159" t="n">
        <v>-25500</v>
      </c>
      <c r="Y104" s="159" t="n">
        <v>-25500</v>
      </c>
      <c r="Z104" s="159" t="n">
        <v>-25500</v>
      </c>
      <c r="AA104" s="159" t="n">
        <v>-25500</v>
      </c>
      <c r="AB104" s="159" t="n">
        <v>-25500</v>
      </c>
      <c r="AC104" s="159" t="n">
        <v>-25500</v>
      </c>
      <c r="AD104" s="159" t="n">
        <v>-26010</v>
      </c>
      <c r="AE104" s="159" t="n">
        <v>-26010</v>
      </c>
      <c r="AF104" s="159" t="n">
        <v>-26010</v>
      </c>
      <c r="AG104" s="159" t="n">
        <v>-26010</v>
      </c>
      <c r="AH104" s="159" t="n">
        <v>-26010</v>
      </c>
      <c r="AI104" s="159" t="n">
        <v>-26010</v>
      </c>
      <c r="AJ104" s="159" t="n">
        <v>-26010</v>
      </c>
      <c r="AK104" s="159" t="n">
        <v>-26010</v>
      </c>
      <c r="AL104" s="159" t="n">
        <v>-26010</v>
      </c>
      <c r="AM104" s="159" t="n">
        <v>-26010</v>
      </c>
      <c r="AN104" s="159" t="n">
        <v>-26010</v>
      </c>
      <c r="AO104" s="159" t="n">
        <v>-26010</v>
      </c>
      <c r="AP104" s="159" t="n">
        <v>-26530.2</v>
      </c>
      <c r="AQ104" s="159" t="n">
        <v>-26530.2</v>
      </c>
      <c r="AR104" s="159" t="n">
        <v>-26530.2</v>
      </c>
      <c r="AS104" s="159" t="n">
        <v>-26530.2</v>
      </c>
      <c r="AT104" s="159" t="n">
        <v>-26530.2</v>
      </c>
      <c r="AU104" s="159" t="n">
        <v>-26530.2</v>
      </c>
      <c r="AV104" s="159" t="n">
        <v>-26530.2</v>
      </c>
      <c r="AW104" s="159" t="n">
        <v>-26530.2</v>
      </c>
      <c r="AX104" s="159" t="n">
        <v>-26530.2</v>
      </c>
      <c r="AY104" s="159" t="n">
        <v>-26530.2</v>
      </c>
      <c r="AZ104" s="159" t="n">
        <v>-26530.2</v>
      </c>
      <c r="BA104" s="159" t="n">
        <v>-26530.2</v>
      </c>
      <c r="BB104" s="159" t="n">
        <v>-27060.804</v>
      </c>
      <c r="BC104" s="159" t="n">
        <v>-27060.804</v>
      </c>
      <c r="BD104" s="159" t="n">
        <v>-27060.804</v>
      </c>
      <c r="BE104" s="159" t="n">
        <v>-27060.804</v>
      </c>
      <c r="BF104" s="159" t="n">
        <v>-27060.804</v>
      </c>
      <c r="BG104" s="159" t="n">
        <v>-27060.804</v>
      </c>
      <c r="BH104" s="159" t="n">
        <v>-27060.804</v>
      </c>
      <c r="BI104" s="159" t="n">
        <v>-27060.804</v>
      </c>
      <c r="BJ104" s="159" t="n">
        <v>-27060.804</v>
      </c>
      <c r="BK104" s="159" t="n">
        <v>-27060.804</v>
      </c>
      <c r="BL104" s="159" t="n">
        <v>-27060.804</v>
      </c>
      <c r="BM104" s="159" t="n">
        <v>-27060.804</v>
      </c>
      <c r="BN104" s="159" t="n">
        <v>-27602.02008</v>
      </c>
      <c r="BO104" s="159" t="n">
        <v>-27602.02008</v>
      </c>
      <c r="BP104" s="159" t="n">
        <v>-27602.02008</v>
      </c>
      <c r="BQ104" s="159" t="n">
        <v>-27602.02008</v>
      </c>
      <c r="BR104" s="159" t="n">
        <v>-27602.02008</v>
      </c>
      <c r="BS104" s="159" t="n">
        <v>-27602.02008</v>
      </c>
      <c r="BT104" s="159" t="n">
        <v>-27602.02008</v>
      </c>
      <c r="BU104" s="159" t="n">
        <v>-27602.02008</v>
      </c>
      <c r="BV104" s="159" t="n">
        <v>-27602.02008</v>
      </c>
      <c r="BW104" s="159" t="n">
        <v>-27602.02008</v>
      </c>
      <c r="BX104" s="159" t="n">
        <v>-27602.02008</v>
      </c>
      <c r="BY104" s="159" t="n">
        <v>-27602.02008</v>
      </c>
      <c r="BZ104" s="159" t="n">
        <v>-28154.0604816</v>
      </c>
      <c r="CA104" s="159" t="n">
        <v>-28154.0604816</v>
      </c>
      <c r="CB104" s="159" t="n">
        <v>-28154.0604816</v>
      </c>
      <c r="CC104" s="159" t="n">
        <v>-28154.0604816</v>
      </c>
      <c r="CD104" s="159" t="n">
        <v>-28154.0604816</v>
      </c>
      <c r="CE104" s="159" t="n">
        <v>-28154.0604816</v>
      </c>
      <c r="CF104" s="159" t="n">
        <v>-28154.0604816</v>
      </c>
      <c r="CG104" s="159" t="n">
        <v>-28154.0604816</v>
      </c>
      <c r="CH104" s="159" t="n">
        <v>-28154.0604816</v>
      </c>
      <c r="CI104" s="159" t="n">
        <v>-28154.0604816</v>
      </c>
      <c r="CJ104" s="159" t="n">
        <v>-28154.0604816</v>
      </c>
      <c r="CK104" s="159" t="n">
        <v>-28154.0604816</v>
      </c>
      <c r="CL104" s="159" t="n">
        <v>-28717.141691232</v>
      </c>
      <c r="CM104" s="159" t="n">
        <v>-28717.141691232</v>
      </c>
      <c r="CN104" s="159" t="n">
        <v>-28717.141691232</v>
      </c>
      <c r="CO104" s="159" t="n">
        <v>-28717.141691232</v>
      </c>
      <c r="CP104" s="159" t="n">
        <v>-28717.141691232</v>
      </c>
      <c r="CQ104" s="159" t="n">
        <v>-28717.141691232</v>
      </c>
      <c r="CR104" s="159" t="n">
        <v>-28717.141691232</v>
      </c>
      <c r="CS104" s="159" t="n">
        <v>-28717.141691232</v>
      </c>
      <c r="CT104" s="159" t="n">
        <v>-28717.141691232</v>
      </c>
      <c r="CU104" s="159" t="n">
        <v>-28717.141691232</v>
      </c>
      <c r="CV104" s="159" t="n">
        <v>-28717.141691232</v>
      </c>
      <c r="CW104" s="159" t="n">
        <v>-28717.141691232</v>
      </c>
      <c r="CX104" s="159" t="n">
        <v>-29291.4845250566</v>
      </c>
      <c r="CY104" s="159" t="n">
        <v>-29291.4845250566</v>
      </c>
      <c r="CZ104" s="159" t="n">
        <v>-29291.4845250566</v>
      </c>
      <c r="DA104" s="159" t="n">
        <v>-29291.4845250566</v>
      </c>
      <c r="DB104" s="159" t="n">
        <v>-29291.4845250566</v>
      </c>
      <c r="DC104" s="159" t="n">
        <v>-29291.4845250566</v>
      </c>
      <c r="DD104" s="159" t="n">
        <v>-29291.4845250566</v>
      </c>
      <c r="DE104" s="159" t="n">
        <v>-29291.4845250566</v>
      </c>
      <c r="DF104" s="159" t="n">
        <v>-29291.4845250566</v>
      </c>
    </row>
    <row r="105" customFormat="false" ht="15" hidden="false" customHeight="true" outlineLevel="0" collapsed="false">
      <c r="A105" s="90" t="s">
        <v>92</v>
      </c>
      <c r="C105" s="104" t="n">
        <v>-4731.96</v>
      </c>
      <c r="D105" s="104" t="n">
        <v>-5</v>
      </c>
      <c r="E105" s="104" t="n">
        <v>-5</v>
      </c>
      <c r="F105" s="158" t="n">
        <v>-1580.65</v>
      </c>
      <c r="G105" s="158" t="n">
        <v>-1580.65</v>
      </c>
      <c r="H105" s="158" t="n">
        <v>-1580.65</v>
      </c>
      <c r="I105" s="158" t="n">
        <v>-1580.65</v>
      </c>
      <c r="J105" s="158" t="n">
        <v>-1580.65</v>
      </c>
      <c r="K105" s="158" t="n">
        <v>-1580.65</v>
      </c>
      <c r="L105" s="158" t="n">
        <v>-1580.65</v>
      </c>
      <c r="M105" s="158" t="n">
        <v>-1580.65</v>
      </c>
      <c r="N105" s="158" t="n">
        <v>-1580.65</v>
      </c>
      <c r="O105" s="158" t="n">
        <v>-1580.65</v>
      </c>
      <c r="P105" s="158" t="n">
        <v>-1580.65</v>
      </c>
      <c r="Q105" s="158" t="n">
        <v>-1580.65</v>
      </c>
      <c r="R105" s="158" t="n">
        <v>-1612.263</v>
      </c>
      <c r="S105" s="158" t="n">
        <v>-1612.263</v>
      </c>
      <c r="T105" s="158" t="n">
        <v>-1612.263</v>
      </c>
      <c r="U105" s="158" t="n">
        <v>-1612.263</v>
      </c>
      <c r="V105" s="158" t="n">
        <v>-1612.263</v>
      </c>
      <c r="W105" s="158" t="n">
        <v>-1612.263</v>
      </c>
      <c r="X105" s="158" t="n">
        <v>-1612.263</v>
      </c>
      <c r="Y105" s="158" t="n">
        <v>-1612.263</v>
      </c>
      <c r="Z105" s="158" t="n">
        <v>-1612.263</v>
      </c>
      <c r="AA105" s="158" t="n">
        <v>-1612.263</v>
      </c>
      <c r="AB105" s="158" t="n">
        <v>-1612.263</v>
      </c>
      <c r="AC105" s="158" t="n">
        <v>-1612.263</v>
      </c>
      <c r="AD105" s="158" t="n">
        <v>-1644.50826</v>
      </c>
      <c r="AE105" s="158" t="n">
        <v>-1644.50826</v>
      </c>
      <c r="AF105" s="158" t="n">
        <v>-1644.50826</v>
      </c>
      <c r="AG105" s="158" t="n">
        <v>-1644.50826</v>
      </c>
      <c r="AH105" s="158" t="n">
        <v>-1644.50826</v>
      </c>
      <c r="AI105" s="158" t="n">
        <v>-1644.50826</v>
      </c>
      <c r="AJ105" s="158" t="n">
        <v>-1644.50826</v>
      </c>
      <c r="AK105" s="158" t="n">
        <v>-1644.50826</v>
      </c>
      <c r="AL105" s="158" t="n">
        <v>-1644.50826</v>
      </c>
      <c r="AM105" s="158" t="n">
        <v>-1644.50826</v>
      </c>
      <c r="AN105" s="158" t="n">
        <v>-1644.50826</v>
      </c>
      <c r="AO105" s="158" t="n">
        <v>-1644.50826</v>
      </c>
      <c r="AP105" s="158" t="n">
        <v>-1677.3984252</v>
      </c>
      <c r="AQ105" s="158" t="n">
        <v>-1677.3984252</v>
      </c>
      <c r="AR105" s="158" t="n">
        <v>-1677.3984252</v>
      </c>
      <c r="AS105" s="158" t="n">
        <v>-1677.3984252</v>
      </c>
      <c r="AT105" s="158" t="n">
        <v>-1677.3984252</v>
      </c>
      <c r="AU105" s="158" t="n">
        <v>-1677.3984252</v>
      </c>
      <c r="AV105" s="158" t="n">
        <v>-1677.3984252</v>
      </c>
      <c r="AW105" s="158" t="n">
        <v>-1677.3984252</v>
      </c>
      <c r="AX105" s="158" t="n">
        <v>-1677.3984252</v>
      </c>
      <c r="AY105" s="158" t="n">
        <v>-1677.3984252</v>
      </c>
      <c r="AZ105" s="158" t="n">
        <v>-1677.3984252</v>
      </c>
      <c r="BA105" s="158" t="n">
        <v>-1677.3984252</v>
      </c>
      <c r="BB105" s="158" t="n">
        <v>-1710.946393704</v>
      </c>
      <c r="BC105" s="158" t="n">
        <v>-1710.946393704</v>
      </c>
      <c r="BD105" s="158" t="n">
        <v>-1710.946393704</v>
      </c>
      <c r="BE105" s="158" t="n">
        <v>-1710.946393704</v>
      </c>
      <c r="BF105" s="158" t="n">
        <v>-1710.946393704</v>
      </c>
      <c r="BG105" s="158" t="n">
        <v>-1710.946393704</v>
      </c>
      <c r="BH105" s="158" t="n">
        <v>-1710.946393704</v>
      </c>
      <c r="BI105" s="158" t="n">
        <v>-1710.946393704</v>
      </c>
      <c r="BJ105" s="158" t="n">
        <v>-1710.946393704</v>
      </c>
      <c r="BK105" s="158" t="n">
        <v>-1710.946393704</v>
      </c>
      <c r="BL105" s="158" t="n">
        <v>-1710.946393704</v>
      </c>
      <c r="BM105" s="158" t="n">
        <v>-1710.946393704</v>
      </c>
      <c r="BN105" s="158" t="n">
        <v>-1745.16532157808</v>
      </c>
      <c r="BO105" s="158" t="n">
        <v>-1745.16532157808</v>
      </c>
      <c r="BP105" s="158" t="n">
        <v>-1745.16532157808</v>
      </c>
      <c r="BQ105" s="158" t="n">
        <v>-1745.16532157808</v>
      </c>
      <c r="BR105" s="158" t="n">
        <v>-1745.16532157808</v>
      </c>
      <c r="BS105" s="158" t="n">
        <v>-1745.16532157808</v>
      </c>
      <c r="BT105" s="158" t="n">
        <v>-1745.16532157808</v>
      </c>
      <c r="BU105" s="158" t="n">
        <v>-1745.16532157808</v>
      </c>
      <c r="BV105" s="158" t="n">
        <v>-1745.16532157808</v>
      </c>
      <c r="BW105" s="158" t="n">
        <v>-1745.16532157808</v>
      </c>
      <c r="BX105" s="158" t="n">
        <v>-1745.16532157808</v>
      </c>
      <c r="BY105" s="158" t="n">
        <v>-1745.16532157808</v>
      </c>
      <c r="BZ105" s="158" t="n">
        <v>-1780.06862800964</v>
      </c>
      <c r="CA105" s="158" t="n">
        <v>-1780.06862800964</v>
      </c>
      <c r="CB105" s="158" t="n">
        <v>-1780.06862800964</v>
      </c>
      <c r="CC105" s="158" t="n">
        <v>-1780.06862800964</v>
      </c>
      <c r="CD105" s="158" t="n">
        <v>-1780.06862800964</v>
      </c>
      <c r="CE105" s="158" t="n">
        <v>-1780.06862800964</v>
      </c>
      <c r="CF105" s="158" t="n">
        <v>-1780.06862800964</v>
      </c>
      <c r="CG105" s="158" t="n">
        <v>-1780.06862800964</v>
      </c>
      <c r="CH105" s="158" t="n">
        <v>-1780.06862800964</v>
      </c>
      <c r="CI105" s="158" t="n">
        <v>-1780.06862800964</v>
      </c>
      <c r="CJ105" s="158" t="n">
        <v>-1780.06862800964</v>
      </c>
      <c r="CK105" s="158" t="n">
        <v>-1780.06862800964</v>
      </c>
      <c r="CL105" s="158" t="n">
        <v>-1815.67000056983</v>
      </c>
      <c r="CM105" s="158" t="n">
        <v>-1815.67000056983</v>
      </c>
      <c r="CN105" s="158" t="n">
        <v>-1815.67000056983</v>
      </c>
      <c r="CO105" s="158" t="n">
        <v>-1815.67000056983</v>
      </c>
      <c r="CP105" s="158" t="n">
        <v>-1815.67000056983</v>
      </c>
      <c r="CQ105" s="158" t="n">
        <v>-1815.67000056983</v>
      </c>
      <c r="CR105" s="158" t="n">
        <v>-1815.67000056983</v>
      </c>
      <c r="CS105" s="158" t="n">
        <v>-1815.67000056983</v>
      </c>
      <c r="CT105" s="158" t="n">
        <v>-1815.67000056983</v>
      </c>
      <c r="CU105" s="158" t="n">
        <v>-1815.67000056983</v>
      </c>
      <c r="CV105" s="158" t="n">
        <v>-1815.67000056983</v>
      </c>
      <c r="CW105" s="158" t="n">
        <v>-1815.67000056983</v>
      </c>
      <c r="CX105" s="158" t="n">
        <v>-1851.98340058123</v>
      </c>
      <c r="CY105" s="158" t="n">
        <v>-1851.98340058123</v>
      </c>
      <c r="CZ105" s="158" t="n">
        <v>-1851.98340058123</v>
      </c>
      <c r="DA105" s="158" t="n">
        <v>-1851.98340058123</v>
      </c>
      <c r="DB105" s="158" t="n">
        <v>-1851.98340058123</v>
      </c>
      <c r="DC105" s="158" t="n">
        <v>-1851.98340058123</v>
      </c>
      <c r="DD105" s="158" t="n">
        <v>-1851.98340058123</v>
      </c>
      <c r="DE105" s="158" t="n">
        <v>-1851.98340058123</v>
      </c>
      <c r="DF105" s="158" t="n">
        <v>-1851.98340058123</v>
      </c>
    </row>
    <row r="106" customFormat="false" ht="15" hidden="false" customHeight="true" outlineLevel="0" collapsed="false">
      <c r="A106" s="90" t="s">
        <v>93</v>
      </c>
      <c r="C106" s="104" t="n">
        <v>-658.14</v>
      </c>
      <c r="D106" s="104" t="n">
        <v>-310</v>
      </c>
      <c r="E106" s="104" t="n">
        <v>-371.74</v>
      </c>
      <c r="F106" s="158" t="n">
        <v>-446.63</v>
      </c>
      <c r="G106" s="158" t="n">
        <v>-446.63</v>
      </c>
      <c r="H106" s="158" t="n">
        <v>-446.63</v>
      </c>
      <c r="I106" s="158" t="n">
        <v>-446.63</v>
      </c>
      <c r="J106" s="158" t="n">
        <v>-446.63</v>
      </c>
      <c r="K106" s="158" t="n">
        <v>-446.63</v>
      </c>
      <c r="L106" s="158" t="n">
        <v>-446.63</v>
      </c>
      <c r="M106" s="158" t="n">
        <v>-446.63</v>
      </c>
      <c r="N106" s="158" t="n">
        <v>-446.63</v>
      </c>
      <c r="O106" s="158" t="n">
        <v>-446.63</v>
      </c>
      <c r="P106" s="158" t="n">
        <v>-446.63</v>
      </c>
      <c r="Q106" s="158" t="n">
        <v>-446.63</v>
      </c>
      <c r="R106" s="158" t="n">
        <v>-455.5626</v>
      </c>
      <c r="S106" s="158" t="n">
        <v>-455.5626</v>
      </c>
      <c r="T106" s="158" t="n">
        <v>-455.5626</v>
      </c>
      <c r="U106" s="158" t="n">
        <v>-455.5626</v>
      </c>
      <c r="V106" s="158" t="n">
        <v>-455.5626</v>
      </c>
      <c r="W106" s="158" t="n">
        <v>-455.5626</v>
      </c>
      <c r="X106" s="158" t="n">
        <v>-455.5626</v>
      </c>
      <c r="Y106" s="158" t="n">
        <v>-455.5626</v>
      </c>
      <c r="Z106" s="158" t="n">
        <v>-455.5626</v>
      </c>
      <c r="AA106" s="158" t="n">
        <v>-455.5626</v>
      </c>
      <c r="AB106" s="158" t="n">
        <v>-455.5626</v>
      </c>
      <c r="AC106" s="158" t="n">
        <v>-455.5626</v>
      </c>
      <c r="AD106" s="158" t="n">
        <v>-464.673852</v>
      </c>
      <c r="AE106" s="158" t="n">
        <v>-464.673852</v>
      </c>
      <c r="AF106" s="158" t="n">
        <v>-464.673852</v>
      </c>
      <c r="AG106" s="158" t="n">
        <v>-464.673852</v>
      </c>
      <c r="AH106" s="158" t="n">
        <v>-464.673852</v>
      </c>
      <c r="AI106" s="158" t="n">
        <v>-464.673852</v>
      </c>
      <c r="AJ106" s="158" t="n">
        <v>-464.673852</v>
      </c>
      <c r="AK106" s="158" t="n">
        <v>-464.673852</v>
      </c>
      <c r="AL106" s="158" t="n">
        <v>-464.673852</v>
      </c>
      <c r="AM106" s="158" t="n">
        <v>-464.673852</v>
      </c>
      <c r="AN106" s="158" t="n">
        <v>-464.673852</v>
      </c>
      <c r="AO106" s="158" t="n">
        <v>-464.673852</v>
      </c>
      <c r="AP106" s="158" t="n">
        <v>-473.96732904</v>
      </c>
      <c r="AQ106" s="158" t="n">
        <v>-473.96732904</v>
      </c>
      <c r="AR106" s="158" t="n">
        <v>-473.96732904</v>
      </c>
      <c r="AS106" s="158" t="n">
        <v>-473.96732904</v>
      </c>
      <c r="AT106" s="158" t="n">
        <v>-473.96732904</v>
      </c>
      <c r="AU106" s="158" t="n">
        <v>-473.96732904</v>
      </c>
      <c r="AV106" s="158" t="n">
        <v>-473.96732904</v>
      </c>
      <c r="AW106" s="158" t="n">
        <v>-473.96732904</v>
      </c>
      <c r="AX106" s="158" t="n">
        <v>-473.96732904</v>
      </c>
      <c r="AY106" s="158" t="n">
        <v>-473.96732904</v>
      </c>
      <c r="AZ106" s="158" t="n">
        <v>-473.96732904</v>
      </c>
      <c r="BA106" s="158" t="n">
        <v>-473.96732904</v>
      </c>
      <c r="BB106" s="158" t="n">
        <v>-483.4466756208</v>
      </c>
      <c r="BC106" s="158" t="n">
        <v>-483.4466756208</v>
      </c>
      <c r="BD106" s="158" t="n">
        <v>-483.4466756208</v>
      </c>
      <c r="BE106" s="158" t="n">
        <v>-483.4466756208</v>
      </c>
      <c r="BF106" s="158" t="n">
        <v>-483.4466756208</v>
      </c>
      <c r="BG106" s="158" t="n">
        <v>-483.4466756208</v>
      </c>
      <c r="BH106" s="158" t="n">
        <v>-483.4466756208</v>
      </c>
      <c r="BI106" s="158" t="n">
        <v>-483.4466756208</v>
      </c>
      <c r="BJ106" s="158" t="n">
        <v>-483.4466756208</v>
      </c>
      <c r="BK106" s="158" t="n">
        <v>-483.4466756208</v>
      </c>
      <c r="BL106" s="158" t="n">
        <v>-483.4466756208</v>
      </c>
      <c r="BM106" s="158" t="n">
        <v>-483.4466756208</v>
      </c>
      <c r="BN106" s="158" t="n">
        <v>-493.115609133216</v>
      </c>
      <c r="BO106" s="158" t="n">
        <v>-493.115609133216</v>
      </c>
      <c r="BP106" s="158" t="n">
        <v>-493.115609133216</v>
      </c>
      <c r="BQ106" s="158" t="n">
        <v>-493.115609133216</v>
      </c>
      <c r="BR106" s="158" t="n">
        <v>-493.115609133216</v>
      </c>
      <c r="BS106" s="158" t="n">
        <v>-493.115609133216</v>
      </c>
      <c r="BT106" s="158" t="n">
        <v>-493.115609133216</v>
      </c>
      <c r="BU106" s="158" t="n">
        <v>-493.115609133216</v>
      </c>
      <c r="BV106" s="158" t="n">
        <v>-493.115609133216</v>
      </c>
      <c r="BW106" s="158" t="n">
        <v>-493.115609133216</v>
      </c>
      <c r="BX106" s="158" t="n">
        <v>-493.115609133216</v>
      </c>
      <c r="BY106" s="158" t="n">
        <v>-493.115609133216</v>
      </c>
      <c r="BZ106" s="158" t="n">
        <v>-502.97792131588</v>
      </c>
      <c r="CA106" s="158" t="n">
        <v>-502.97792131588</v>
      </c>
      <c r="CB106" s="158" t="n">
        <v>-502.97792131588</v>
      </c>
      <c r="CC106" s="158" t="n">
        <v>-502.97792131588</v>
      </c>
      <c r="CD106" s="158" t="n">
        <v>-502.97792131588</v>
      </c>
      <c r="CE106" s="158" t="n">
        <v>-502.97792131588</v>
      </c>
      <c r="CF106" s="158" t="n">
        <v>-502.97792131588</v>
      </c>
      <c r="CG106" s="158" t="n">
        <v>-502.97792131588</v>
      </c>
      <c r="CH106" s="158" t="n">
        <v>-502.97792131588</v>
      </c>
      <c r="CI106" s="158" t="n">
        <v>-502.97792131588</v>
      </c>
      <c r="CJ106" s="158" t="n">
        <v>-502.97792131588</v>
      </c>
      <c r="CK106" s="158" t="n">
        <v>-502.97792131588</v>
      </c>
      <c r="CL106" s="158" t="n">
        <v>-513.037479742198</v>
      </c>
      <c r="CM106" s="158" t="n">
        <v>-513.037479742198</v>
      </c>
      <c r="CN106" s="158" t="n">
        <v>-513.037479742198</v>
      </c>
      <c r="CO106" s="158" t="n">
        <v>-513.037479742198</v>
      </c>
      <c r="CP106" s="158" t="n">
        <v>-513.037479742198</v>
      </c>
      <c r="CQ106" s="158" t="n">
        <v>-513.037479742198</v>
      </c>
      <c r="CR106" s="158" t="n">
        <v>-513.037479742198</v>
      </c>
      <c r="CS106" s="158" t="n">
        <v>-513.037479742198</v>
      </c>
      <c r="CT106" s="158" t="n">
        <v>-513.037479742198</v>
      </c>
      <c r="CU106" s="158" t="n">
        <v>-513.037479742198</v>
      </c>
      <c r="CV106" s="158" t="n">
        <v>-513.037479742198</v>
      </c>
      <c r="CW106" s="158" t="n">
        <v>-513.037479742198</v>
      </c>
      <c r="CX106" s="158" t="n">
        <v>-523.298229337042</v>
      </c>
      <c r="CY106" s="158" t="n">
        <v>-523.298229337042</v>
      </c>
      <c r="CZ106" s="158" t="n">
        <v>-523.298229337042</v>
      </c>
      <c r="DA106" s="158" t="n">
        <v>-523.298229337042</v>
      </c>
      <c r="DB106" s="158" t="n">
        <v>-523.298229337042</v>
      </c>
      <c r="DC106" s="158" t="n">
        <v>-523.298229337042</v>
      </c>
      <c r="DD106" s="158" t="n">
        <v>-523.298229337042</v>
      </c>
      <c r="DE106" s="158" t="n">
        <v>-523.298229337042</v>
      </c>
      <c r="DF106" s="158" t="n">
        <v>-523.298229337042</v>
      </c>
    </row>
    <row r="107" customFormat="false" ht="15" hidden="false" customHeight="true" outlineLevel="0" collapsed="false">
      <c r="A107" s="90" t="s">
        <v>134</v>
      </c>
      <c r="C107" s="104" t="n">
        <v>0</v>
      </c>
      <c r="D107" s="104" t="n">
        <v>0</v>
      </c>
      <c r="E107" s="104" t="n">
        <v>0</v>
      </c>
      <c r="F107" s="158" t="n">
        <v>0</v>
      </c>
      <c r="G107" s="158" t="n">
        <v>0</v>
      </c>
      <c r="H107" s="158" t="n">
        <v>0</v>
      </c>
      <c r="I107" s="158" t="n">
        <v>0</v>
      </c>
      <c r="J107" s="158" t="n">
        <v>0</v>
      </c>
      <c r="K107" s="158" t="n">
        <v>0</v>
      </c>
      <c r="L107" s="158" t="n">
        <v>0</v>
      </c>
      <c r="M107" s="158" t="n">
        <v>0</v>
      </c>
      <c r="N107" s="158" t="n">
        <v>0</v>
      </c>
      <c r="O107" s="158" t="n">
        <v>0</v>
      </c>
      <c r="P107" s="158" t="n">
        <v>0</v>
      </c>
      <c r="Q107" s="158" t="n">
        <v>0</v>
      </c>
      <c r="R107" s="158" t="n">
        <v>0</v>
      </c>
      <c r="S107" s="158" t="n">
        <v>0</v>
      </c>
      <c r="T107" s="158" t="n">
        <v>0</v>
      </c>
      <c r="U107" s="158" t="n">
        <v>0</v>
      </c>
      <c r="V107" s="158" t="n">
        <v>0</v>
      </c>
      <c r="W107" s="158" t="n">
        <v>0</v>
      </c>
      <c r="X107" s="158" t="n">
        <v>0</v>
      </c>
      <c r="Y107" s="158" t="n">
        <v>0</v>
      </c>
      <c r="Z107" s="158" t="n">
        <v>0</v>
      </c>
      <c r="AA107" s="158" t="n">
        <v>0</v>
      </c>
      <c r="AB107" s="158" t="n">
        <v>0</v>
      </c>
      <c r="AC107" s="158" t="n">
        <v>0</v>
      </c>
      <c r="AD107" s="158" t="n">
        <v>0</v>
      </c>
      <c r="AE107" s="158" t="n">
        <v>0</v>
      </c>
      <c r="AF107" s="158" t="n">
        <v>0</v>
      </c>
      <c r="AG107" s="158" t="n">
        <v>0</v>
      </c>
      <c r="AH107" s="158" t="n">
        <v>0</v>
      </c>
      <c r="AI107" s="158" t="n">
        <v>0</v>
      </c>
      <c r="AJ107" s="158" t="n">
        <v>0</v>
      </c>
      <c r="AK107" s="158" t="n">
        <v>0</v>
      </c>
      <c r="AL107" s="158" t="n">
        <v>0</v>
      </c>
      <c r="AM107" s="158" t="n">
        <v>0</v>
      </c>
      <c r="AN107" s="158" t="n">
        <v>0</v>
      </c>
      <c r="AO107" s="158" t="n">
        <v>0</v>
      </c>
      <c r="AP107" s="158" t="n">
        <v>0</v>
      </c>
      <c r="AQ107" s="158" t="n">
        <v>0</v>
      </c>
      <c r="AR107" s="158" t="n">
        <v>0</v>
      </c>
      <c r="AS107" s="158" t="n">
        <v>0</v>
      </c>
      <c r="AT107" s="158" t="n">
        <v>0</v>
      </c>
      <c r="AU107" s="158" t="n">
        <v>0</v>
      </c>
      <c r="AV107" s="158" t="n">
        <v>0</v>
      </c>
      <c r="AW107" s="158" t="n">
        <v>0</v>
      </c>
      <c r="AX107" s="158" t="n">
        <v>0</v>
      </c>
      <c r="AY107" s="158" t="n">
        <v>0</v>
      </c>
      <c r="AZ107" s="158" t="n">
        <v>0</v>
      </c>
      <c r="BA107" s="158" t="n">
        <v>0</v>
      </c>
      <c r="BB107" s="158" t="n">
        <v>0</v>
      </c>
      <c r="BC107" s="158" t="n">
        <v>0</v>
      </c>
      <c r="BD107" s="158" t="n">
        <v>0</v>
      </c>
      <c r="BE107" s="158" t="n">
        <v>0</v>
      </c>
      <c r="BF107" s="158" t="n">
        <v>0</v>
      </c>
      <c r="BG107" s="158" t="n">
        <v>0</v>
      </c>
      <c r="BH107" s="158" t="n">
        <v>0</v>
      </c>
      <c r="BI107" s="158" t="n">
        <v>0</v>
      </c>
      <c r="BJ107" s="158" t="n">
        <v>0</v>
      </c>
      <c r="BK107" s="158" t="n">
        <v>0</v>
      </c>
      <c r="BL107" s="158" t="n">
        <v>0</v>
      </c>
      <c r="BM107" s="158" t="n">
        <v>0</v>
      </c>
      <c r="BN107" s="158" t="n">
        <v>0</v>
      </c>
      <c r="BO107" s="158" t="n">
        <v>0</v>
      </c>
      <c r="BP107" s="158" t="n">
        <v>0</v>
      </c>
      <c r="BQ107" s="158" t="n">
        <v>0</v>
      </c>
      <c r="BR107" s="158" t="n">
        <v>0</v>
      </c>
      <c r="BS107" s="158" t="n">
        <v>0</v>
      </c>
      <c r="BT107" s="158" t="n">
        <v>0</v>
      </c>
      <c r="BU107" s="158" t="n">
        <v>0</v>
      </c>
      <c r="BV107" s="158" t="n">
        <v>0</v>
      </c>
      <c r="BW107" s="158" t="n">
        <v>0</v>
      </c>
      <c r="BX107" s="158" t="n">
        <v>0</v>
      </c>
      <c r="BY107" s="158" t="n">
        <v>0</v>
      </c>
      <c r="BZ107" s="158" t="n">
        <v>0</v>
      </c>
      <c r="CA107" s="158" t="n">
        <v>0</v>
      </c>
      <c r="CB107" s="158" t="n">
        <v>0</v>
      </c>
      <c r="CC107" s="158" t="n">
        <v>0</v>
      </c>
      <c r="CD107" s="158" t="n">
        <v>0</v>
      </c>
      <c r="CE107" s="158" t="n">
        <v>0</v>
      </c>
      <c r="CF107" s="158" t="n">
        <v>0</v>
      </c>
      <c r="CG107" s="158" t="n">
        <v>0</v>
      </c>
      <c r="CH107" s="158" t="n">
        <v>0</v>
      </c>
      <c r="CI107" s="158" t="n">
        <v>0</v>
      </c>
      <c r="CJ107" s="158" t="n">
        <v>0</v>
      </c>
      <c r="CK107" s="158" t="n">
        <v>0</v>
      </c>
      <c r="CL107" s="158" t="n">
        <v>0</v>
      </c>
      <c r="CM107" s="158" t="n">
        <v>0</v>
      </c>
      <c r="CN107" s="158" t="n">
        <v>0</v>
      </c>
      <c r="CO107" s="158" t="n">
        <v>0</v>
      </c>
      <c r="CP107" s="158" t="n">
        <v>0</v>
      </c>
      <c r="CQ107" s="158" t="n">
        <v>0</v>
      </c>
      <c r="CR107" s="158" t="n">
        <v>0</v>
      </c>
      <c r="CS107" s="158" t="n">
        <v>0</v>
      </c>
      <c r="CT107" s="158" t="n">
        <v>0</v>
      </c>
      <c r="CU107" s="158" t="n">
        <v>0</v>
      </c>
      <c r="CV107" s="158" t="n">
        <v>0</v>
      </c>
      <c r="CW107" s="158" t="n">
        <v>0</v>
      </c>
      <c r="CX107" s="158" t="n">
        <v>0</v>
      </c>
      <c r="CY107" s="158" t="n">
        <v>0</v>
      </c>
      <c r="CZ107" s="158" t="n">
        <v>0</v>
      </c>
      <c r="DA107" s="158" t="n">
        <v>0</v>
      </c>
      <c r="DB107" s="158" t="n">
        <v>0</v>
      </c>
      <c r="DC107" s="158" t="n">
        <v>0</v>
      </c>
      <c r="DD107" s="158" t="n">
        <v>0</v>
      </c>
      <c r="DE107" s="158" t="n">
        <v>0</v>
      </c>
      <c r="DF107" s="158" t="n">
        <v>0</v>
      </c>
    </row>
    <row r="108" customFormat="false" ht="15" hidden="false" customHeight="true" outlineLevel="0" collapsed="false">
      <c r="A108" s="90" t="s">
        <v>135</v>
      </c>
      <c r="C108" s="104" t="n">
        <v>0</v>
      </c>
      <c r="D108" s="104" t="n">
        <v>0</v>
      </c>
      <c r="E108" s="104" t="n">
        <v>0</v>
      </c>
      <c r="F108" s="158" t="n">
        <v>0</v>
      </c>
      <c r="G108" s="158" t="n">
        <v>0</v>
      </c>
      <c r="H108" s="158" t="n">
        <v>0</v>
      </c>
      <c r="I108" s="158" t="n">
        <v>0</v>
      </c>
      <c r="J108" s="158" t="n">
        <v>0</v>
      </c>
      <c r="K108" s="158" t="n">
        <v>0</v>
      </c>
      <c r="L108" s="158" t="n">
        <v>0</v>
      </c>
      <c r="M108" s="158" t="n">
        <v>0</v>
      </c>
      <c r="N108" s="158" t="n">
        <v>0</v>
      </c>
      <c r="O108" s="158" t="n">
        <v>0</v>
      </c>
      <c r="P108" s="158" t="n">
        <v>0</v>
      </c>
      <c r="Q108" s="158" t="n">
        <v>0</v>
      </c>
      <c r="R108" s="158" t="n">
        <v>0</v>
      </c>
      <c r="S108" s="158" t="n">
        <v>0</v>
      </c>
      <c r="T108" s="158" t="n">
        <v>0</v>
      </c>
      <c r="U108" s="158" t="n">
        <v>0</v>
      </c>
      <c r="V108" s="158" t="n">
        <v>0</v>
      </c>
      <c r="W108" s="158" t="n">
        <v>0</v>
      </c>
      <c r="X108" s="158" t="n">
        <v>0</v>
      </c>
      <c r="Y108" s="158" t="n">
        <v>0</v>
      </c>
      <c r="Z108" s="158" t="n">
        <v>0</v>
      </c>
      <c r="AA108" s="158" t="n">
        <v>0</v>
      </c>
      <c r="AB108" s="158" t="n">
        <v>0</v>
      </c>
      <c r="AC108" s="158" t="n">
        <v>0</v>
      </c>
      <c r="AD108" s="158" t="n">
        <v>0</v>
      </c>
      <c r="AE108" s="158" t="n">
        <v>0</v>
      </c>
      <c r="AF108" s="158" t="n">
        <v>0</v>
      </c>
      <c r="AG108" s="158" t="n">
        <v>0</v>
      </c>
      <c r="AH108" s="158" t="n">
        <v>0</v>
      </c>
      <c r="AI108" s="158" t="n">
        <v>0</v>
      </c>
      <c r="AJ108" s="158" t="n">
        <v>0</v>
      </c>
      <c r="AK108" s="158" t="n">
        <v>0</v>
      </c>
      <c r="AL108" s="158" t="n">
        <v>0</v>
      </c>
      <c r="AM108" s="158" t="n">
        <v>0</v>
      </c>
      <c r="AN108" s="158" t="n">
        <v>0</v>
      </c>
      <c r="AO108" s="158" t="n">
        <v>0</v>
      </c>
      <c r="AP108" s="158" t="n">
        <v>0</v>
      </c>
      <c r="AQ108" s="158" t="n">
        <v>0</v>
      </c>
      <c r="AR108" s="158" t="n">
        <v>0</v>
      </c>
      <c r="AS108" s="158" t="n">
        <v>0</v>
      </c>
      <c r="AT108" s="158" t="n">
        <v>0</v>
      </c>
      <c r="AU108" s="158" t="n">
        <v>0</v>
      </c>
      <c r="AV108" s="158" t="n">
        <v>0</v>
      </c>
      <c r="AW108" s="158" t="n">
        <v>0</v>
      </c>
      <c r="AX108" s="158" t="n">
        <v>0</v>
      </c>
      <c r="AY108" s="158" t="n">
        <v>0</v>
      </c>
      <c r="AZ108" s="158" t="n">
        <v>0</v>
      </c>
      <c r="BA108" s="158" t="n">
        <v>0</v>
      </c>
      <c r="BB108" s="158" t="n">
        <v>0</v>
      </c>
      <c r="BC108" s="158" t="n">
        <v>0</v>
      </c>
      <c r="BD108" s="158" t="n">
        <v>0</v>
      </c>
      <c r="BE108" s="158" t="n">
        <v>0</v>
      </c>
      <c r="BF108" s="158" t="n">
        <v>0</v>
      </c>
      <c r="BG108" s="158" t="n">
        <v>0</v>
      </c>
      <c r="BH108" s="158" t="n">
        <v>0</v>
      </c>
      <c r="BI108" s="158" t="n">
        <v>0</v>
      </c>
      <c r="BJ108" s="158" t="n">
        <v>0</v>
      </c>
      <c r="BK108" s="158" t="n">
        <v>0</v>
      </c>
      <c r="BL108" s="158" t="n">
        <v>0</v>
      </c>
      <c r="BM108" s="158" t="n">
        <v>0</v>
      </c>
      <c r="BN108" s="158" t="n">
        <v>0</v>
      </c>
      <c r="BO108" s="158" t="n">
        <v>0</v>
      </c>
      <c r="BP108" s="158" t="n">
        <v>0</v>
      </c>
      <c r="BQ108" s="158" t="n">
        <v>0</v>
      </c>
      <c r="BR108" s="158" t="n">
        <v>0</v>
      </c>
      <c r="BS108" s="158" t="n">
        <v>0</v>
      </c>
      <c r="BT108" s="158" t="n">
        <v>0</v>
      </c>
      <c r="BU108" s="158" t="n">
        <v>0</v>
      </c>
      <c r="BV108" s="158" t="n">
        <v>0</v>
      </c>
      <c r="BW108" s="158" t="n">
        <v>0</v>
      </c>
      <c r="BX108" s="158" t="n">
        <v>0</v>
      </c>
      <c r="BY108" s="158" t="n">
        <v>0</v>
      </c>
      <c r="BZ108" s="158" t="n">
        <v>0</v>
      </c>
      <c r="CA108" s="158" t="n">
        <v>0</v>
      </c>
      <c r="CB108" s="158" t="n">
        <v>0</v>
      </c>
      <c r="CC108" s="158" t="n">
        <v>0</v>
      </c>
      <c r="CD108" s="158" t="n">
        <v>0</v>
      </c>
      <c r="CE108" s="158" t="n">
        <v>0</v>
      </c>
      <c r="CF108" s="158" t="n">
        <v>0</v>
      </c>
      <c r="CG108" s="158" t="n">
        <v>0</v>
      </c>
      <c r="CH108" s="158" t="n">
        <v>0</v>
      </c>
      <c r="CI108" s="158" t="n">
        <v>0</v>
      </c>
      <c r="CJ108" s="158" t="n">
        <v>0</v>
      </c>
      <c r="CK108" s="158" t="n">
        <v>0</v>
      </c>
      <c r="CL108" s="158" t="n">
        <v>0</v>
      </c>
      <c r="CM108" s="158" t="n">
        <v>0</v>
      </c>
      <c r="CN108" s="158" t="n">
        <v>0</v>
      </c>
      <c r="CO108" s="158" t="n">
        <v>0</v>
      </c>
      <c r="CP108" s="158" t="n">
        <v>0</v>
      </c>
      <c r="CQ108" s="158" t="n">
        <v>0</v>
      </c>
      <c r="CR108" s="158" t="n">
        <v>0</v>
      </c>
      <c r="CS108" s="158" t="n">
        <v>0</v>
      </c>
      <c r="CT108" s="158" t="n">
        <v>0</v>
      </c>
      <c r="CU108" s="158" t="n">
        <v>0</v>
      </c>
      <c r="CV108" s="158" t="n">
        <v>0</v>
      </c>
      <c r="CW108" s="158" t="n">
        <v>0</v>
      </c>
      <c r="CX108" s="158" t="n">
        <v>0</v>
      </c>
      <c r="CY108" s="158" t="n">
        <v>0</v>
      </c>
      <c r="CZ108" s="158" t="n">
        <v>0</v>
      </c>
      <c r="DA108" s="158" t="n">
        <v>0</v>
      </c>
      <c r="DB108" s="158" t="n">
        <v>0</v>
      </c>
      <c r="DC108" s="158" t="n">
        <v>0</v>
      </c>
      <c r="DD108" s="158" t="n">
        <v>0</v>
      </c>
      <c r="DE108" s="158" t="n">
        <v>0</v>
      </c>
      <c r="DF108" s="158" t="n">
        <v>0</v>
      </c>
    </row>
    <row r="109" customFormat="false" ht="15" hidden="false" customHeight="true" outlineLevel="0" collapsed="false">
      <c r="A109" s="90" t="s">
        <v>136</v>
      </c>
      <c r="C109" s="104" t="n">
        <v>0</v>
      </c>
      <c r="D109" s="104" t="n">
        <v>0</v>
      </c>
      <c r="E109" s="104" t="n">
        <v>0</v>
      </c>
      <c r="F109" s="158" t="n">
        <v>0</v>
      </c>
      <c r="G109" s="158" t="n">
        <v>0</v>
      </c>
      <c r="H109" s="158" t="n">
        <v>0</v>
      </c>
      <c r="I109" s="158" t="n">
        <v>0</v>
      </c>
      <c r="J109" s="158" t="n">
        <v>0</v>
      </c>
      <c r="K109" s="158" t="n">
        <v>0</v>
      </c>
      <c r="L109" s="158" t="n">
        <v>0</v>
      </c>
      <c r="M109" s="158" t="n">
        <v>0</v>
      </c>
      <c r="N109" s="158" t="n">
        <v>0</v>
      </c>
      <c r="O109" s="158" t="n">
        <v>0</v>
      </c>
      <c r="P109" s="158" t="n">
        <v>0</v>
      </c>
      <c r="Q109" s="158" t="n">
        <v>0</v>
      </c>
      <c r="R109" s="158" t="n">
        <v>0</v>
      </c>
      <c r="S109" s="158" t="n">
        <v>0</v>
      </c>
      <c r="T109" s="158" t="n">
        <v>0</v>
      </c>
      <c r="U109" s="158" t="n">
        <v>0</v>
      </c>
      <c r="V109" s="158" t="n">
        <v>0</v>
      </c>
      <c r="W109" s="158" t="n">
        <v>0</v>
      </c>
      <c r="X109" s="158" t="n">
        <v>0</v>
      </c>
      <c r="Y109" s="158" t="n">
        <v>0</v>
      </c>
      <c r="Z109" s="158" t="n">
        <v>0</v>
      </c>
      <c r="AA109" s="158" t="n">
        <v>0</v>
      </c>
      <c r="AB109" s="158" t="n">
        <v>0</v>
      </c>
      <c r="AC109" s="158" t="n">
        <v>0</v>
      </c>
      <c r="AD109" s="158" t="n">
        <v>0</v>
      </c>
      <c r="AE109" s="158" t="n">
        <v>0</v>
      </c>
      <c r="AF109" s="158" t="n">
        <v>0</v>
      </c>
      <c r="AG109" s="158" t="n">
        <v>0</v>
      </c>
      <c r="AH109" s="158" t="n">
        <v>0</v>
      </c>
      <c r="AI109" s="158" t="n">
        <v>0</v>
      </c>
      <c r="AJ109" s="158" t="n">
        <v>0</v>
      </c>
      <c r="AK109" s="158" t="n">
        <v>0</v>
      </c>
      <c r="AL109" s="158" t="n">
        <v>0</v>
      </c>
      <c r="AM109" s="158" t="n">
        <v>0</v>
      </c>
      <c r="AN109" s="158" t="n">
        <v>0</v>
      </c>
      <c r="AO109" s="158" t="n">
        <v>0</v>
      </c>
      <c r="AP109" s="158" t="n">
        <v>0</v>
      </c>
      <c r="AQ109" s="158" t="n">
        <v>0</v>
      </c>
      <c r="AR109" s="158" t="n">
        <v>0</v>
      </c>
      <c r="AS109" s="158" t="n">
        <v>0</v>
      </c>
      <c r="AT109" s="158" t="n">
        <v>0</v>
      </c>
      <c r="AU109" s="158" t="n">
        <v>-81683</v>
      </c>
      <c r="AV109" s="158" t="n">
        <v>0</v>
      </c>
      <c r="AW109" s="158" t="n">
        <v>0</v>
      </c>
      <c r="AX109" s="158" t="n">
        <v>-81682</v>
      </c>
      <c r="AY109" s="158" t="n">
        <v>0</v>
      </c>
      <c r="AZ109" s="158" t="n">
        <v>0</v>
      </c>
      <c r="BA109" s="158" t="n">
        <v>-81682</v>
      </c>
      <c r="BB109" s="158" t="n">
        <v>0</v>
      </c>
      <c r="BC109" s="158" t="n">
        <v>0</v>
      </c>
      <c r="BD109" s="158" t="n">
        <v>-81682</v>
      </c>
      <c r="BE109" s="158" t="n">
        <v>0</v>
      </c>
      <c r="BF109" s="158" t="n">
        <v>0</v>
      </c>
      <c r="BG109" s="158" t="n">
        <v>-59178</v>
      </c>
      <c r="BH109" s="158" t="n">
        <v>0</v>
      </c>
      <c r="BI109" s="158" t="n">
        <v>0</v>
      </c>
      <c r="BJ109" s="158" t="n">
        <v>-59176</v>
      </c>
      <c r="BK109" s="158" t="n">
        <v>0</v>
      </c>
      <c r="BL109" s="158" t="n">
        <v>0</v>
      </c>
      <c r="BM109" s="158" t="n">
        <v>-59176</v>
      </c>
      <c r="BN109" s="158" t="n">
        <v>0</v>
      </c>
      <c r="BO109" s="158" t="n">
        <v>0</v>
      </c>
      <c r="BP109" s="158" t="n">
        <v>-59176</v>
      </c>
      <c r="BQ109" s="158" t="n">
        <v>0</v>
      </c>
      <c r="BR109" s="158" t="n">
        <v>0</v>
      </c>
      <c r="BS109" s="158" t="n">
        <v>-16249.48</v>
      </c>
      <c r="BT109" s="158" t="n">
        <v>0</v>
      </c>
      <c r="BU109" s="158" t="n">
        <v>0</v>
      </c>
      <c r="BV109" s="158" t="n">
        <v>0</v>
      </c>
      <c r="BW109" s="158" t="n">
        <v>0</v>
      </c>
      <c r="BX109" s="158" t="n">
        <v>0</v>
      </c>
      <c r="BY109" s="158" t="n">
        <v>0</v>
      </c>
      <c r="BZ109" s="158" t="n">
        <v>0</v>
      </c>
      <c r="CA109" s="158" t="n">
        <v>0</v>
      </c>
      <c r="CB109" s="158" t="n">
        <v>0</v>
      </c>
      <c r="CC109" s="158" t="n">
        <v>0</v>
      </c>
      <c r="CD109" s="158" t="n">
        <v>0</v>
      </c>
      <c r="CE109" s="158" t="n">
        <v>0</v>
      </c>
      <c r="CF109" s="158" t="n">
        <v>0</v>
      </c>
      <c r="CG109" s="158" t="n">
        <v>0</v>
      </c>
      <c r="CH109" s="158" t="n">
        <v>0</v>
      </c>
      <c r="CI109" s="158" t="n">
        <v>0</v>
      </c>
      <c r="CJ109" s="158" t="n">
        <v>0</v>
      </c>
      <c r="CK109" s="158" t="n">
        <v>0</v>
      </c>
      <c r="CL109" s="158" t="n">
        <v>0</v>
      </c>
      <c r="CM109" s="158" t="n">
        <v>0</v>
      </c>
      <c r="CN109" s="158" t="n">
        <v>0</v>
      </c>
      <c r="CO109" s="158" t="n">
        <v>0</v>
      </c>
      <c r="CP109" s="158" t="n">
        <v>0</v>
      </c>
      <c r="CQ109" s="158" t="n">
        <v>0</v>
      </c>
      <c r="CR109" s="158" t="n">
        <v>0</v>
      </c>
      <c r="CS109" s="158" t="n">
        <v>0</v>
      </c>
      <c r="CT109" s="158" t="n">
        <v>0</v>
      </c>
      <c r="CU109" s="158" t="n">
        <v>0</v>
      </c>
      <c r="CV109" s="158" t="n">
        <v>0</v>
      </c>
      <c r="CW109" s="158" t="n">
        <v>0</v>
      </c>
      <c r="CX109" s="158" t="n">
        <v>0</v>
      </c>
      <c r="CY109" s="158" t="n">
        <v>0</v>
      </c>
      <c r="CZ109" s="158" t="n">
        <v>0</v>
      </c>
      <c r="DA109" s="158" t="n">
        <v>0</v>
      </c>
      <c r="DB109" s="158" t="n">
        <v>0</v>
      </c>
      <c r="DC109" s="158" t="n">
        <v>0</v>
      </c>
      <c r="DD109" s="158" t="n">
        <v>0</v>
      </c>
      <c r="DE109" s="158" t="n">
        <v>0</v>
      </c>
      <c r="DF109" s="158" t="n">
        <v>0</v>
      </c>
    </row>
    <row r="110" customFormat="false" ht="15" hidden="false" customHeight="true" outlineLevel="0" collapsed="false">
      <c r="A110" s="90" t="s">
        <v>137</v>
      </c>
      <c r="C110" s="104" t="n">
        <v>0</v>
      </c>
      <c r="D110" s="104" t="n">
        <v>0</v>
      </c>
      <c r="E110" s="104" t="n">
        <v>0</v>
      </c>
      <c r="F110" s="158" t="n">
        <v>0</v>
      </c>
      <c r="G110" s="158" t="n">
        <v>0</v>
      </c>
      <c r="H110" s="158" t="n">
        <v>0</v>
      </c>
      <c r="I110" s="158" t="n">
        <v>0</v>
      </c>
      <c r="J110" s="158" t="n">
        <v>0</v>
      </c>
      <c r="K110" s="158" t="n">
        <v>0</v>
      </c>
      <c r="L110" s="158" t="n">
        <v>0</v>
      </c>
      <c r="M110" s="158" t="n">
        <v>0</v>
      </c>
      <c r="N110" s="158" t="n">
        <v>0</v>
      </c>
      <c r="O110" s="158" t="n">
        <v>0</v>
      </c>
      <c r="P110" s="158" t="n">
        <v>0</v>
      </c>
      <c r="Q110" s="158" t="n">
        <v>0</v>
      </c>
      <c r="R110" s="158" t="n">
        <v>0</v>
      </c>
      <c r="S110" s="158" t="n">
        <v>0</v>
      </c>
      <c r="T110" s="158" t="n">
        <v>0</v>
      </c>
      <c r="U110" s="158" t="n">
        <v>0</v>
      </c>
      <c r="V110" s="158" t="n">
        <v>0</v>
      </c>
      <c r="W110" s="158" t="n">
        <v>0</v>
      </c>
      <c r="X110" s="158" t="n">
        <v>0</v>
      </c>
      <c r="Y110" s="158" t="n">
        <v>0</v>
      </c>
      <c r="Z110" s="158" t="n">
        <v>0</v>
      </c>
      <c r="AA110" s="158" t="n">
        <v>0</v>
      </c>
      <c r="AB110" s="158" t="n">
        <v>0</v>
      </c>
      <c r="AC110" s="158" t="n">
        <v>0</v>
      </c>
      <c r="AD110" s="158" t="n">
        <v>0</v>
      </c>
      <c r="AE110" s="158" t="n">
        <v>0</v>
      </c>
      <c r="AF110" s="158" t="n">
        <v>0</v>
      </c>
      <c r="AG110" s="158" t="n">
        <v>0</v>
      </c>
      <c r="AH110" s="158" t="n">
        <v>0</v>
      </c>
      <c r="AI110" s="158" t="n">
        <v>0</v>
      </c>
      <c r="AJ110" s="158" t="n">
        <v>0</v>
      </c>
      <c r="AK110" s="158" t="n">
        <v>0</v>
      </c>
      <c r="AL110" s="158" t="n">
        <v>0</v>
      </c>
      <c r="AM110" s="158" t="n">
        <v>0</v>
      </c>
      <c r="AN110" s="158" t="n">
        <v>0</v>
      </c>
      <c r="AO110" s="158" t="n">
        <v>0</v>
      </c>
      <c r="AP110" s="158" t="n">
        <v>0</v>
      </c>
      <c r="AQ110" s="158" t="n">
        <v>0</v>
      </c>
      <c r="AR110" s="158" t="n">
        <v>0</v>
      </c>
      <c r="AS110" s="158" t="n">
        <v>0</v>
      </c>
      <c r="AT110" s="158" t="n">
        <v>0</v>
      </c>
      <c r="AU110" s="158" t="n">
        <v>0</v>
      </c>
      <c r="AV110" s="158" t="n">
        <v>0</v>
      </c>
      <c r="AW110" s="158" t="n">
        <v>0</v>
      </c>
      <c r="AX110" s="158" t="n">
        <v>0</v>
      </c>
      <c r="AY110" s="158" t="n">
        <v>0</v>
      </c>
      <c r="AZ110" s="158" t="n">
        <v>0</v>
      </c>
      <c r="BA110" s="158" t="n">
        <v>0</v>
      </c>
      <c r="BB110" s="158" t="n">
        <v>0</v>
      </c>
      <c r="BC110" s="158" t="n">
        <v>0</v>
      </c>
      <c r="BD110" s="158" t="n">
        <v>-851839</v>
      </c>
      <c r="BE110" s="158" t="n">
        <v>0</v>
      </c>
      <c r="BF110" s="158" t="n">
        <v>0</v>
      </c>
      <c r="BG110" s="158" t="n">
        <v>-71700</v>
      </c>
      <c r="BH110" s="158" t="n">
        <v>0</v>
      </c>
      <c r="BI110" s="158" t="n">
        <v>0</v>
      </c>
      <c r="BJ110" s="158" t="n">
        <v>-71700</v>
      </c>
      <c r="BK110" s="158" t="n">
        <v>0</v>
      </c>
      <c r="BL110" s="158" t="n">
        <v>0</v>
      </c>
      <c r="BM110" s="158" t="n">
        <v>-71700</v>
      </c>
      <c r="BN110" s="158" t="n">
        <v>0</v>
      </c>
      <c r="BO110" s="158" t="n">
        <v>0</v>
      </c>
      <c r="BP110" s="158" t="n">
        <v>-71700</v>
      </c>
      <c r="BQ110" s="158" t="n">
        <v>0</v>
      </c>
      <c r="BR110" s="158" t="n">
        <v>0</v>
      </c>
      <c r="BS110" s="158" t="n">
        <v>-74643</v>
      </c>
      <c r="BT110" s="158" t="n">
        <v>0</v>
      </c>
      <c r="BU110" s="158" t="n">
        <v>0</v>
      </c>
      <c r="BV110" s="158" t="n">
        <v>-74640</v>
      </c>
      <c r="BW110" s="158" t="n">
        <v>0</v>
      </c>
      <c r="BX110" s="158" t="n">
        <v>0</v>
      </c>
      <c r="BY110" s="158" t="n">
        <v>-74640</v>
      </c>
      <c r="BZ110" s="158" t="n">
        <v>0</v>
      </c>
      <c r="CA110" s="158" t="n">
        <v>0</v>
      </c>
      <c r="CB110" s="158" t="n">
        <v>-74640</v>
      </c>
      <c r="CC110" s="158" t="n">
        <v>0</v>
      </c>
      <c r="CD110" s="158" t="n">
        <v>0</v>
      </c>
      <c r="CE110" s="158" t="n">
        <v>-81363</v>
      </c>
      <c r="CF110" s="158" t="n">
        <v>0</v>
      </c>
      <c r="CG110" s="158" t="n">
        <v>0</v>
      </c>
      <c r="CH110" s="158" t="n">
        <v>-81362</v>
      </c>
      <c r="CI110" s="158" t="n">
        <v>0</v>
      </c>
      <c r="CJ110" s="158" t="n">
        <v>0</v>
      </c>
      <c r="CK110" s="158" t="n">
        <v>-74753.9733935208</v>
      </c>
      <c r="CL110" s="158" t="n">
        <v>0</v>
      </c>
      <c r="CM110" s="158" t="n">
        <v>0</v>
      </c>
      <c r="CN110" s="158" t="n">
        <v>0</v>
      </c>
      <c r="CO110" s="158" t="n">
        <v>0</v>
      </c>
      <c r="CP110" s="158" t="n">
        <v>0</v>
      </c>
      <c r="CQ110" s="158" t="n">
        <v>0</v>
      </c>
      <c r="CR110" s="158" t="n">
        <v>0</v>
      </c>
      <c r="CS110" s="158" t="n">
        <v>0</v>
      </c>
      <c r="CT110" s="158" t="n">
        <v>0</v>
      </c>
      <c r="CU110" s="158" t="n">
        <v>0</v>
      </c>
      <c r="CV110" s="158" t="n">
        <v>0</v>
      </c>
      <c r="CW110" s="158" t="n">
        <v>0</v>
      </c>
      <c r="CX110" s="158" t="n">
        <v>0</v>
      </c>
      <c r="CY110" s="158" t="n">
        <v>0</v>
      </c>
      <c r="CZ110" s="158" t="n">
        <v>0</v>
      </c>
      <c r="DA110" s="158" t="n">
        <v>0</v>
      </c>
      <c r="DB110" s="158" t="n">
        <v>0</v>
      </c>
      <c r="DC110" s="158" t="n">
        <v>0</v>
      </c>
      <c r="DD110" s="158" t="n">
        <v>0</v>
      </c>
      <c r="DE110" s="158" t="n">
        <v>0</v>
      </c>
      <c r="DF110" s="158" t="n">
        <v>0</v>
      </c>
    </row>
    <row r="111" customFormat="false" ht="15" hidden="false" customHeight="true" outlineLevel="0" collapsed="false">
      <c r="A111" s="90" t="s">
        <v>138</v>
      </c>
      <c r="C111" s="104" t="n">
        <v>0</v>
      </c>
      <c r="D111" s="104" t="n">
        <v>0</v>
      </c>
      <c r="E111" s="104" t="n">
        <v>0</v>
      </c>
      <c r="F111" s="158" t="n">
        <v>0</v>
      </c>
      <c r="G111" s="158" t="n">
        <v>0</v>
      </c>
      <c r="H111" s="158" t="n">
        <v>0</v>
      </c>
      <c r="I111" s="158" t="n">
        <v>0</v>
      </c>
      <c r="J111" s="158" t="n">
        <v>0</v>
      </c>
      <c r="K111" s="158" t="n">
        <v>0</v>
      </c>
      <c r="L111" s="158" t="n">
        <v>0</v>
      </c>
      <c r="M111" s="158" t="n">
        <v>0</v>
      </c>
      <c r="N111" s="158" t="n">
        <v>0</v>
      </c>
      <c r="O111" s="158" t="n">
        <v>0</v>
      </c>
      <c r="P111" s="158" t="n">
        <v>0</v>
      </c>
      <c r="Q111" s="158" t="n">
        <v>0</v>
      </c>
      <c r="R111" s="158" t="n">
        <v>0</v>
      </c>
      <c r="S111" s="158" t="n">
        <v>0</v>
      </c>
      <c r="T111" s="158" t="n">
        <v>0</v>
      </c>
      <c r="U111" s="158" t="n">
        <v>0</v>
      </c>
      <c r="V111" s="158" t="n">
        <v>0</v>
      </c>
      <c r="W111" s="158" t="n">
        <v>0</v>
      </c>
      <c r="X111" s="158" t="n">
        <v>0</v>
      </c>
      <c r="Y111" s="158" t="n">
        <v>0</v>
      </c>
      <c r="Z111" s="158" t="n">
        <v>0</v>
      </c>
      <c r="AA111" s="158" t="n">
        <v>0</v>
      </c>
      <c r="AB111" s="158" t="n">
        <v>0</v>
      </c>
      <c r="AC111" s="158" t="n">
        <v>0</v>
      </c>
      <c r="AD111" s="158" t="n">
        <v>0</v>
      </c>
      <c r="AE111" s="158" t="n">
        <v>0</v>
      </c>
      <c r="AF111" s="158" t="n">
        <v>0</v>
      </c>
      <c r="AG111" s="158" t="n">
        <v>0</v>
      </c>
      <c r="AH111" s="158" t="n">
        <v>0</v>
      </c>
      <c r="AI111" s="158" t="n">
        <v>0</v>
      </c>
      <c r="AJ111" s="158" t="n">
        <v>0</v>
      </c>
      <c r="AK111" s="158" t="n">
        <v>0</v>
      </c>
      <c r="AL111" s="158" t="n">
        <v>0</v>
      </c>
      <c r="AM111" s="158" t="n">
        <v>0</v>
      </c>
      <c r="AN111" s="158" t="n">
        <v>0</v>
      </c>
      <c r="AO111" s="158" t="n">
        <v>0</v>
      </c>
      <c r="AP111" s="158" t="n">
        <v>0</v>
      </c>
      <c r="AQ111" s="158" t="n">
        <v>0</v>
      </c>
      <c r="AR111" s="158" t="n">
        <v>0</v>
      </c>
      <c r="AS111" s="158" t="n">
        <v>0</v>
      </c>
      <c r="AT111" s="158" t="n">
        <v>0</v>
      </c>
      <c r="AU111" s="158" t="n">
        <v>0</v>
      </c>
      <c r="AV111" s="158" t="n">
        <v>0</v>
      </c>
      <c r="AW111" s="158" t="n">
        <v>0</v>
      </c>
      <c r="AX111" s="158" t="n">
        <v>0</v>
      </c>
      <c r="AY111" s="158" t="n">
        <v>0</v>
      </c>
      <c r="AZ111" s="158" t="n">
        <v>0</v>
      </c>
      <c r="BA111" s="158" t="n">
        <v>0</v>
      </c>
      <c r="BB111" s="158" t="n">
        <v>0</v>
      </c>
      <c r="BC111" s="158" t="n">
        <v>0</v>
      </c>
      <c r="BD111" s="158" t="n">
        <v>0</v>
      </c>
      <c r="BE111" s="158" t="n">
        <v>0</v>
      </c>
      <c r="BF111" s="158" t="n">
        <v>0</v>
      </c>
      <c r="BG111" s="158" t="n">
        <v>0</v>
      </c>
      <c r="BH111" s="158" t="n">
        <v>0</v>
      </c>
      <c r="BI111" s="158" t="n">
        <v>0</v>
      </c>
      <c r="BJ111" s="158" t="n">
        <v>0</v>
      </c>
      <c r="BK111" s="158" t="n">
        <v>0</v>
      </c>
      <c r="BL111" s="158" t="n">
        <v>0</v>
      </c>
      <c r="BM111" s="158" t="n">
        <v>0</v>
      </c>
      <c r="BN111" s="158" t="n">
        <v>0</v>
      </c>
      <c r="BO111" s="158" t="n">
        <v>0</v>
      </c>
      <c r="BP111" s="158" t="n">
        <v>0</v>
      </c>
      <c r="BQ111" s="158" t="n">
        <v>0</v>
      </c>
      <c r="BR111" s="158" t="n">
        <v>0</v>
      </c>
      <c r="BS111" s="158" t="n">
        <v>0</v>
      </c>
      <c r="BT111" s="158" t="n">
        <v>0</v>
      </c>
      <c r="BU111" s="158" t="n">
        <v>0</v>
      </c>
      <c r="BV111" s="158" t="n">
        <v>0</v>
      </c>
      <c r="BW111" s="158" t="n">
        <v>0</v>
      </c>
      <c r="BX111" s="158" t="n">
        <v>0</v>
      </c>
      <c r="BY111" s="158" t="n">
        <v>0</v>
      </c>
      <c r="BZ111" s="158" t="n">
        <v>0</v>
      </c>
      <c r="CA111" s="158" t="n">
        <v>0</v>
      </c>
      <c r="CB111" s="158" t="n">
        <v>-73156</v>
      </c>
      <c r="CC111" s="158" t="n">
        <v>0</v>
      </c>
      <c r="CD111" s="158" t="n">
        <v>0</v>
      </c>
      <c r="CE111" s="158" t="n">
        <v>-73155</v>
      </c>
      <c r="CF111" s="158" t="n">
        <v>0</v>
      </c>
      <c r="CG111" s="158" t="n">
        <v>0</v>
      </c>
      <c r="CH111" s="158" t="n">
        <v>-73155</v>
      </c>
      <c r="CI111" s="158" t="n">
        <v>0</v>
      </c>
      <c r="CJ111" s="158" t="n">
        <v>0</v>
      </c>
      <c r="CK111" s="158" t="n">
        <v>-73155</v>
      </c>
      <c r="CL111" s="158" t="n">
        <v>-73155</v>
      </c>
      <c r="CM111" s="158" t="n">
        <v>-73155</v>
      </c>
      <c r="CN111" s="158" t="n">
        <v>-73155</v>
      </c>
      <c r="CO111" s="158" t="n">
        <v>-73155</v>
      </c>
      <c r="CP111" s="158" t="n">
        <v>-73155</v>
      </c>
      <c r="CQ111" s="158" t="n">
        <v>-73155</v>
      </c>
      <c r="CR111" s="158" t="n">
        <v>-73155</v>
      </c>
      <c r="CS111" s="158" t="n">
        <v>-73155</v>
      </c>
      <c r="CT111" s="158" t="n">
        <v>-73155</v>
      </c>
      <c r="CU111" s="158" t="n">
        <v>-73155</v>
      </c>
      <c r="CV111" s="158" t="n">
        <v>-73155</v>
      </c>
      <c r="CW111" s="158" t="n">
        <v>-73155</v>
      </c>
      <c r="CX111" s="158" t="n">
        <v>-17446.8489364072</v>
      </c>
      <c r="CY111" s="158" t="n">
        <v>0</v>
      </c>
      <c r="CZ111" s="158" t="n">
        <v>0</v>
      </c>
      <c r="DA111" s="158" t="n">
        <v>0</v>
      </c>
      <c r="DB111" s="158" t="n">
        <v>0</v>
      </c>
      <c r="DC111" s="158" t="n">
        <v>0</v>
      </c>
      <c r="DD111" s="158" t="n">
        <v>0</v>
      </c>
      <c r="DE111" s="158" t="n">
        <v>0</v>
      </c>
      <c r="DF111" s="158" t="n">
        <v>0</v>
      </c>
    </row>
    <row r="112" customFormat="false" ht="15" hidden="false" customHeight="true" outlineLevel="0" collapsed="false">
      <c r="A112" s="94" t="s">
        <v>139</v>
      </c>
      <c r="C112" s="162" t="n">
        <v>-196623.84</v>
      </c>
      <c r="D112" s="162" t="n">
        <v>-189707.12</v>
      </c>
      <c r="E112" s="162" t="n">
        <v>-242129.22</v>
      </c>
      <c r="F112" s="162" t="n">
        <v>-78090.0916666666</v>
      </c>
      <c r="G112" s="162" t="n">
        <v>-78090.0916666666</v>
      </c>
      <c r="H112" s="162" t="n">
        <v>-78090.0916666666</v>
      </c>
      <c r="I112" s="162" t="n">
        <v>-78090.0916666666</v>
      </c>
      <c r="J112" s="162" t="n">
        <v>-78090.0916666666</v>
      </c>
      <c r="K112" s="162" t="n">
        <v>-78090.0916666666</v>
      </c>
      <c r="L112" s="162" t="n">
        <v>-78090.0916666666</v>
      </c>
      <c r="M112" s="162" t="n">
        <v>-78090.0916666666</v>
      </c>
      <c r="N112" s="162" t="n">
        <v>-78090.0916666666</v>
      </c>
      <c r="O112" s="162" t="n">
        <v>-78090.0916666666</v>
      </c>
      <c r="P112" s="162" t="n">
        <v>-78090.0916666666</v>
      </c>
      <c r="Q112" s="162" t="n">
        <v>-78090.0916666666</v>
      </c>
      <c r="R112" s="162" t="n">
        <v>-79651.8935</v>
      </c>
      <c r="S112" s="162" t="n">
        <v>-79651.8935</v>
      </c>
      <c r="T112" s="162" t="n">
        <v>-79651.8935</v>
      </c>
      <c r="U112" s="162" t="n">
        <v>-79651.8935</v>
      </c>
      <c r="V112" s="162" t="n">
        <v>-79651.8935</v>
      </c>
      <c r="W112" s="162" t="n">
        <v>-79651.8935</v>
      </c>
      <c r="X112" s="162" t="n">
        <v>-79651.8935</v>
      </c>
      <c r="Y112" s="162" t="n">
        <v>-79651.8935</v>
      </c>
      <c r="Z112" s="162" t="n">
        <v>-79651.8935</v>
      </c>
      <c r="AA112" s="162" t="n">
        <v>-79651.8935</v>
      </c>
      <c r="AB112" s="162" t="n">
        <v>-79651.8935</v>
      </c>
      <c r="AC112" s="162" t="n">
        <v>-79651.8935</v>
      </c>
      <c r="AD112" s="162" t="n">
        <v>-81244.93137</v>
      </c>
      <c r="AE112" s="162" t="n">
        <v>-81244.93137</v>
      </c>
      <c r="AF112" s="162" t="n">
        <v>-81244.93137</v>
      </c>
      <c r="AG112" s="162" t="n">
        <v>-81244.93137</v>
      </c>
      <c r="AH112" s="162" t="n">
        <v>-81244.93137</v>
      </c>
      <c r="AI112" s="162" t="n">
        <v>-81244.93137</v>
      </c>
      <c r="AJ112" s="162" t="n">
        <v>-81244.93137</v>
      </c>
      <c r="AK112" s="162" t="n">
        <v>-81244.93137</v>
      </c>
      <c r="AL112" s="162" t="n">
        <v>-81244.93137</v>
      </c>
      <c r="AM112" s="162" t="n">
        <v>-81244.93137</v>
      </c>
      <c r="AN112" s="162" t="n">
        <v>-81244.93137</v>
      </c>
      <c r="AO112" s="162" t="n">
        <v>-81244.93137</v>
      </c>
      <c r="AP112" s="162" t="n">
        <v>-82869.8299974</v>
      </c>
      <c r="AQ112" s="162" t="n">
        <v>-82869.8299974</v>
      </c>
      <c r="AR112" s="162" t="n">
        <v>-82869.8299974</v>
      </c>
      <c r="AS112" s="162" t="n">
        <v>-82869.8299974</v>
      </c>
      <c r="AT112" s="162" t="n">
        <v>-82869.8299974</v>
      </c>
      <c r="AU112" s="162" t="n">
        <v>-164552.8299974</v>
      </c>
      <c r="AV112" s="162" t="n">
        <v>-82869.8299974</v>
      </c>
      <c r="AW112" s="162" t="n">
        <v>-82869.8299974</v>
      </c>
      <c r="AX112" s="162" t="n">
        <v>-164551.8299974</v>
      </c>
      <c r="AY112" s="162" t="n">
        <v>-82869.8299974</v>
      </c>
      <c r="AZ112" s="162" t="n">
        <v>-82869.8299974</v>
      </c>
      <c r="BA112" s="162" t="n">
        <v>-164551.8299974</v>
      </c>
      <c r="BB112" s="162" t="n">
        <v>-84527.226597348</v>
      </c>
      <c r="BC112" s="162" t="n">
        <v>-84527.226597348</v>
      </c>
      <c r="BD112" s="162" t="n">
        <v>-1018048.22659735</v>
      </c>
      <c r="BE112" s="162" t="n">
        <v>-84527.226597348</v>
      </c>
      <c r="BF112" s="162" t="n">
        <v>-84527.226597348</v>
      </c>
      <c r="BG112" s="162" t="n">
        <v>-215405.226597348</v>
      </c>
      <c r="BH112" s="162" t="n">
        <v>-84527.226597348</v>
      </c>
      <c r="BI112" s="162" t="n">
        <v>-84527.226597348</v>
      </c>
      <c r="BJ112" s="162" t="n">
        <v>-215403.226597348</v>
      </c>
      <c r="BK112" s="162" t="n">
        <v>-84527.226597348</v>
      </c>
      <c r="BL112" s="162" t="n">
        <v>-84527.226597348</v>
      </c>
      <c r="BM112" s="162" t="n">
        <v>-215403.226597348</v>
      </c>
      <c r="BN112" s="162" t="n">
        <v>-86217.771129295</v>
      </c>
      <c r="BO112" s="162" t="n">
        <v>-86217.771129295</v>
      </c>
      <c r="BP112" s="162" t="n">
        <v>-217093.771129295</v>
      </c>
      <c r="BQ112" s="162" t="n">
        <v>-86217.771129295</v>
      </c>
      <c r="BR112" s="162" t="n">
        <v>-86217.771129295</v>
      </c>
      <c r="BS112" s="162" t="n">
        <v>-177110.251129295</v>
      </c>
      <c r="BT112" s="162" t="n">
        <v>-86217.771129295</v>
      </c>
      <c r="BU112" s="162" t="n">
        <v>-86217.771129295</v>
      </c>
      <c r="BV112" s="162" t="n">
        <v>-160857.771129295</v>
      </c>
      <c r="BW112" s="162" t="n">
        <v>-86217.771129295</v>
      </c>
      <c r="BX112" s="162" t="n">
        <v>-86217.771129295</v>
      </c>
      <c r="BY112" s="162" t="n">
        <v>-160857.771129295</v>
      </c>
      <c r="BZ112" s="162" t="n">
        <v>-87942.1265518809</v>
      </c>
      <c r="CA112" s="162" t="n">
        <v>-87942.1265518809</v>
      </c>
      <c r="CB112" s="162" t="n">
        <v>-235738.126551881</v>
      </c>
      <c r="CC112" s="162" t="n">
        <v>-87942.1265518809</v>
      </c>
      <c r="CD112" s="162" t="n">
        <v>-87942.1265518809</v>
      </c>
      <c r="CE112" s="162" t="n">
        <v>-242460.126551881</v>
      </c>
      <c r="CF112" s="162" t="n">
        <v>-87942.1265518809</v>
      </c>
      <c r="CG112" s="162" t="n">
        <v>-87942.1265518809</v>
      </c>
      <c r="CH112" s="162" t="n">
        <v>-242459.126551881</v>
      </c>
      <c r="CI112" s="162" t="n">
        <v>-87942.1265518809</v>
      </c>
      <c r="CJ112" s="162" t="n">
        <v>-87942.1265518809</v>
      </c>
      <c r="CK112" s="162" t="n">
        <v>-235851.099945402</v>
      </c>
      <c r="CL112" s="162" t="n">
        <v>-162855.969082918</v>
      </c>
      <c r="CM112" s="162" t="n">
        <v>-162855.969082918</v>
      </c>
      <c r="CN112" s="162" t="n">
        <v>-162855.969082918</v>
      </c>
      <c r="CO112" s="162" t="n">
        <v>-162855.969082918</v>
      </c>
      <c r="CP112" s="162" t="n">
        <v>-162855.969082918</v>
      </c>
      <c r="CQ112" s="162" t="n">
        <v>-162855.969082918</v>
      </c>
      <c r="CR112" s="162" t="n">
        <v>-162855.969082918</v>
      </c>
      <c r="CS112" s="162" t="n">
        <v>-162855.969082918</v>
      </c>
      <c r="CT112" s="162" t="n">
        <v>-162855.969082918</v>
      </c>
      <c r="CU112" s="162" t="n">
        <v>-160947.475708022</v>
      </c>
      <c r="CV112" s="162" t="n">
        <v>-160947.475708022</v>
      </c>
      <c r="CW112" s="162" t="n">
        <v>-160947.475708022</v>
      </c>
      <c r="CX112" s="162" t="n">
        <v>-106995.17415859</v>
      </c>
      <c r="CY112" s="162" t="n">
        <v>-89548.3252221824</v>
      </c>
      <c r="CZ112" s="162" t="n">
        <v>-89548.3252221824</v>
      </c>
      <c r="DA112" s="162" t="n">
        <v>-89548.3252221824</v>
      </c>
      <c r="DB112" s="162" t="n">
        <v>-89548.3252221824</v>
      </c>
      <c r="DC112" s="162" t="n">
        <v>-89548.3252221824</v>
      </c>
      <c r="DD112" s="162" t="n">
        <v>-89548.3252221824</v>
      </c>
      <c r="DE112" s="162" t="n">
        <v>-89548.3252221824</v>
      </c>
      <c r="DF112" s="162"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140</v>
      </c>
      <c r="C114" s="162" t="n">
        <v>-162509.26</v>
      </c>
      <c r="D114" s="162" t="n">
        <v>-155592.54</v>
      </c>
      <c r="E114" s="162" t="n">
        <v>-208014.64</v>
      </c>
      <c r="F114" s="162" t="n">
        <v>-34475.5116666666</v>
      </c>
      <c r="G114" s="162" t="n">
        <v>-34475.5116666666</v>
      </c>
      <c r="H114" s="162" t="n">
        <v>-34475.5116666666</v>
      </c>
      <c r="I114" s="162" t="n">
        <v>-34475.5116666666</v>
      </c>
      <c r="J114" s="162" t="n">
        <v>-34475.5116666666</v>
      </c>
      <c r="K114" s="162" t="n">
        <v>-35308.8416666666</v>
      </c>
      <c r="L114" s="162" t="n">
        <v>-35308.8416666666</v>
      </c>
      <c r="M114" s="162" t="n">
        <v>-44683.8416666666</v>
      </c>
      <c r="N114" s="162" t="n">
        <v>-44683.8416666666</v>
      </c>
      <c r="O114" s="162" t="n">
        <v>-44683.8416666666</v>
      </c>
      <c r="P114" s="162" t="n">
        <v>-44683.8416666666</v>
      </c>
      <c r="Q114" s="162" t="n">
        <v>-44683.8416666666</v>
      </c>
      <c r="R114" s="162" t="n">
        <v>-46245.6435</v>
      </c>
      <c r="S114" s="162" t="n">
        <v>-46245.6435</v>
      </c>
      <c r="T114" s="162" t="n">
        <v>-46245.6435</v>
      </c>
      <c r="U114" s="162" t="n">
        <v>-70151.8935</v>
      </c>
      <c r="V114" s="162" t="n">
        <v>-70151.8935</v>
      </c>
      <c r="W114" s="162" t="n">
        <v>-70151.8935</v>
      </c>
      <c r="X114" s="162" t="n">
        <v>-70151.8935</v>
      </c>
      <c r="Y114" s="162" t="n">
        <v>-70151.8935</v>
      </c>
      <c r="Z114" s="162" t="n">
        <v>-12776.8935</v>
      </c>
      <c r="AA114" s="162" t="n">
        <v>-70151.8935</v>
      </c>
      <c r="AB114" s="162" t="n">
        <v>-70151.8935</v>
      </c>
      <c r="AC114" s="162" t="n">
        <v>-12776.8935</v>
      </c>
      <c r="AD114" s="162" t="n">
        <v>-71744.93137</v>
      </c>
      <c r="AE114" s="162" t="n">
        <v>-71744.93137</v>
      </c>
      <c r="AF114" s="162" t="n">
        <v>-14369.93137</v>
      </c>
      <c r="AG114" s="162" t="n">
        <v>-71744.93137</v>
      </c>
      <c r="AH114" s="162" t="n">
        <v>-71744.93137</v>
      </c>
      <c r="AI114" s="162" t="n">
        <v>-71744.93137</v>
      </c>
      <c r="AJ114" s="162" t="n">
        <v>-81244.93137</v>
      </c>
      <c r="AK114" s="162" t="n">
        <v>-81244.93137</v>
      </c>
      <c r="AL114" s="162" t="n">
        <v>-81244.93137</v>
      </c>
      <c r="AM114" s="162" t="n">
        <v>-81244.93137</v>
      </c>
      <c r="AN114" s="162" t="n">
        <v>-81244.93137</v>
      </c>
      <c r="AO114" s="162" t="n">
        <v>-81244.93137</v>
      </c>
      <c r="AP114" s="162" t="n">
        <v>-82869.8299974</v>
      </c>
      <c r="AQ114" s="162" t="n">
        <v>-82869.8299974</v>
      </c>
      <c r="AR114" s="162" t="n">
        <v>-82869.8299974</v>
      </c>
      <c r="AS114" s="162" t="n">
        <v>-82869.8299974</v>
      </c>
      <c r="AT114" s="162" t="n">
        <v>-82869.8299974</v>
      </c>
      <c r="AU114" s="162" t="n">
        <v>-82869.8299974</v>
      </c>
      <c r="AV114" s="162" t="n">
        <v>-82869.8299974</v>
      </c>
      <c r="AW114" s="162" t="n">
        <v>-82869.8299974</v>
      </c>
      <c r="AX114" s="162" t="n">
        <v>-82869.8299974</v>
      </c>
      <c r="AY114" s="162" t="n">
        <v>-82869.8299974</v>
      </c>
      <c r="AZ114" s="162" t="n">
        <v>-82869.8299974</v>
      </c>
      <c r="BA114" s="162" t="n">
        <v>-82869.8299974</v>
      </c>
      <c r="BB114" s="162" t="n">
        <v>-84527.226597348</v>
      </c>
      <c r="BC114" s="162" t="n">
        <v>-84527.226597348</v>
      </c>
      <c r="BD114" s="162" t="n">
        <v>-84527.226597348</v>
      </c>
      <c r="BE114" s="162" t="n">
        <v>-84527.226597348</v>
      </c>
      <c r="BF114" s="162" t="n">
        <v>-84527.226597348</v>
      </c>
      <c r="BG114" s="162" t="n">
        <v>-84527.226597348</v>
      </c>
      <c r="BH114" s="162" t="n">
        <v>-84527.226597348</v>
      </c>
      <c r="BI114" s="162" t="n">
        <v>-84527.226597348</v>
      </c>
      <c r="BJ114" s="162" t="n">
        <v>-84527.226597348</v>
      </c>
      <c r="BK114" s="162" t="n">
        <v>-84527.226597348</v>
      </c>
      <c r="BL114" s="162" t="n">
        <v>-84527.226597348</v>
      </c>
      <c r="BM114" s="162" t="n">
        <v>-84527.226597348</v>
      </c>
      <c r="BN114" s="162" t="n">
        <v>-86217.771129295</v>
      </c>
      <c r="BO114" s="162" t="n">
        <v>-86217.771129295</v>
      </c>
      <c r="BP114" s="162" t="n">
        <v>-86217.771129295</v>
      </c>
      <c r="BQ114" s="162" t="n">
        <v>-86217.771129295</v>
      </c>
      <c r="BR114" s="162" t="n">
        <v>-86217.771129295</v>
      </c>
      <c r="BS114" s="162" t="n">
        <v>-34704.251129295</v>
      </c>
      <c r="BT114" s="162" t="n">
        <v>-86217.771129295</v>
      </c>
      <c r="BU114" s="162" t="n">
        <v>-86217.771129295</v>
      </c>
      <c r="BV114" s="162" t="n">
        <v>-18455.771129295</v>
      </c>
      <c r="BW114" s="162" t="n">
        <v>-86217.771129295</v>
      </c>
      <c r="BX114" s="162" t="n">
        <v>-86217.771129295</v>
      </c>
      <c r="BY114" s="162" t="n">
        <v>-18455.771129295</v>
      </c>
      <c r="BZ114" s="162" t="n">
        <v>-87942.1265518809</v>
      </c>
      <c r="CA114" s="162" t="n">
        <v>-87942.1265518809</v>
      </c>
      <c r="CB114" s="162" t="n">
        <v>-20180.1265518809</v>
      </c>
      <c r="CC114" s="162" t="n">
        <v>-87942.1265518809</v>
      </c>
      <c r="CD114" s="162" t="n">
        <v>-87942.1265518809</v>
      </c>
      <c r="CE114" s="162" t="n">
        <v>-11443.1265518809</v>
      </c>
      <c r="CF114" s="162" t="n">
        <v>-87942.1265518809</v>
      </c>
      <c r="CG114" s="162" t="n">
        <v>-87942.1265518809</v>
      </c>
      <c r="CH114" s="162" t="n">
        <v>-11443.1265518809</v>
      </c>
      <c r="CI114" s="162" t="n">
        <v>-87942.1265518809</v>
      </c>
      <c r="CJ114" s="162" t="n">
        <v>-87942.1265518809</v>
      </c>
      <c r="CK114" s="162" t="n">
        <v>-4835.09994540163</v>
      </c>
      <c r="CL114" s="162" t="n">
        <v>68160.0309170815</v>
      </c>
      <c r="CM114" s="162" t="n">
        <v>68160.0309170815</v>
      </c>
      <c r="CN114" s="162" t="n">
        <v>68160.0309170815</v>
      </c>
      <c r="CO114" s="162" t="n">
        <v>68160.0309170815</v>
      </c>
      <c r="CP114" s="162" t="n">
        <v>68160.0309170815</v>
      </c>
      <c r="CQ114" s="162" t="n">
        <v>68160.0309170815</v>
      </c>
      <c r="CR114" s="162" t="n">
        <v>68160.0309170815</v>
      </c>
      <c r="CS114" s="162" t="n">
        <v>68160.0309170815</v>
      </c>
      <c r="CT114" s="162" t="n">
        <v>68160.0309170815</v>
      </c>
      <c r="CU114" s="162" t="n">
        <v>70068.524291978</v>
      </c>
      <c r="CV114" s="162" t="n">
        <v>70068.524291978</v>
      </c>
      <c r="CW114" s="162" t="n">
        <v>70068.524291978</v>
      </c>
      <c r="CX114" s="162" t="n">
        <v>124020.82584141</v>
      </c>
      <c r="CY114" s="162" t="n">
        <v>141467.674777818</v>
      </c>
      <c r="CZ114" s="162" t="n">
        <v>141467.674777818</v>
      </c>
      <c r="DA114" s="162" t="n">
        <v>141467.674777818</v>
      </c>
      <c r="DB114" s="162" t="n">
        <v>141467.674777818</v>
      </c>
      <c r="DC114" s="162" t="n">
        <v>141467.674777818</v>
      </c>
      <c r="DD114" s="162" t="n">
        <v>141467.674777818</v>
      </c>
      <c r="DE114" s="162" t="n">
        <v>141467.674777818</v>
      </c>
      <c r="DF114" s="162"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30468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557</v>
      </c>
    </row>
    <row r="2" customFormat="false" ht="15" hidden="false" customHeight="true" outlineLevel="0" collapsed="false">
      <c r="A2" s="72" t="s">
        <v>558</v>
      </c>
    </row>
    <row r="4" customFormat="false" ht="31.5" hidden="false" customHeight="true" outlineLevel="0" collapsed="false">
      <c r="A4" s="110" t="s">
        <v>559</v>
      </c>
      <c r="B4" s="110" t="s">
        <v>560</v>
      </c>
      <c r="C4" s="110" t="s">
        <v>561</v>
      </c>
      <c r="D4" s="110" t="s">
        <v>562</v>
      </c>
      <c r="E4" s="110" t="s">
        <v>563</v>
      </c>
      <c r="F4" s="110" t="s">
        <v>564</v>
      </c>
      <c r="G4" s="110" t="s">
        <v>565</v>
      </c>
      <c r="H4" s="110" t="s">
        <v>566</v>
      </c>
      <c r="I4" s="166" t="s">
        <v>567</v>
      </c>
      <c r="J4" s="110" t="s">
        <v>568</v>
      </c>
      <c r="K4" s="110" t="s">
        <v>569</v>
      </c>
      <c r="L4" s="110" t="s">
        <v>570</v>
      </c>
      <c r="M4" s="166" t="s">
        <v>571</v>
      </c>
      <c r="N4" s="166" t="s">
        <v>572</v>
      </c>
      <c r="O4" s="166" t="s">
        <v>573</v>
      </c>
      <c r="P4" s="166" t="s">
        <v>574</v>
      </c>
      <c r="Q4" s="166" t="s">
        <v>575</v>
      </c>
      <c r="R4" s="166" t="s">
        <v>576</v>
      </c>
      <c r="S4" s="166" t="s">
        <v>577</v>
      </c>
    </row>
    <row r="5" customFormat="false" ht="15" hidden="false" customHeight="true" outlineLevel="0" collapsed="false">
      <c r="A5" s="167" t="s">
        <v>276</v>
      </c>
      <c r="B5" s="168" t="n">
        <f aca="false">SUM(Helpers!C96:N96)</f>
        <v>0</v>
      </c>
      <c r="C5" s="168" t="n">
        <f aca="false">(SUM(Helpers!C97:N97)-SUM(Helpers!C96:N96))*(Assumptions!$B$10+Assumptions!$B$12)/Assumptions!$B$9</f>
        <v>0</v>
      </c>
      <c r="D5" s="168" t="n">
        <f aca="false">(SUM(Helpers!C97:N97)-SUM(Helpers!C96:N96))*Assumptions!$B$11/Assumptions!$B$9</f>
        <v>0</v>
      </c>
      <c r="E5" s="168" t="n">
        <v>0</v>
      </c>
      <c r="F5" s="169" t="n">
        <f aca="false">SUM(Helpers!C97:N97)</f>
        <v>0</v>
      </c>
      <c r="G5" s="168" t="n">
        <f aca="false">SUM(Helpers!C99:N99)</f>
        <v>2388530.991</v>
      </c>
      <c r="H5" s="169" t="n">
        <f aca="false">SUM(Helpers!C100:N100)</f>
        <v>0</v>
      </c>
      <c r="I5" s="170" t="n">
        <f aca="false">-SUM(Model!B234:M234)</f>
        <v>-0</v>
      </c>
      <c r="J5" s="168" t="n">
        <f aca="false">Personnel!$C$46*9/12</f>
        <v>166500</v>
      </c>
      <c r="K5" s="171" t="n">
        <f aca="false">I5+J5</f>
        <v>166500</v>
      </c>
      <c r="L5" s="172" t="n">
        <f aca="false">IFERROR(I5/K5,0)</f>
        <v>-0</v>
      </c>
      <c r="M5" s="170" t="n">
        <f aca="false">SUM(Helpers!C101:N101)</f>
        <v>0</v>
      </c>
      <c r="N5" s="170" t="n">
        <f aca="false">B5-M5</f>
        <v>0</v>
      </c>
      <c r="O5" s="170" t="n">
        <f aca="false">IFERROR(H5*M5/B5,0)</f>
        <v>0</v>
      </c>
      <c r="P5" s="170" t="n">
        <f aca="false">H5-O5</f>
        <v>0</v>
      </c>
      <c r="Q5" s="173" t="n">
        <f aca="false">IF(N5&gt;=Assumptions!$B$86,Assumptions!$C$86,IF(N5&gt;=Assumptions!$B$85,Assumptions!$C$85,IF(N5&gt;=Assumptions!$B$84,Assumptions!$C$84,Assumptions!$C$83)))</f>
        <v>0.25</v>
      </c>
      <c r="R5" s="170" t="n">
        <f aca="false">O5*Q5*0.1</f>
        <v>0</v>
      </c>
      <c r="S5" s="170" t="n">
        <f aca="false">P5*0.1</f>
        <v>0</v>
      </c>
    </row>
    <row r="6" customFormat="false" ht="15" hidden="false" customHeight="true" outlineLevel="0" collapsed="false">
      <c r="A6" s="174" t="s">
        <v>277</v>
      </c>
      <c r="B6" s="175" t="n">
        <f aca="false">SUM(Helpers!O96:Z96)</f>
        <v>0</v>
      </c>
      <c r="C6" s="175" t="n">
        <f aca="false">(SUM(Helpers!O97:Z97)-SUM(Helpers!O96:Z96))*(Assumptions!$B$10+Assumptions!$B$12)/Assumptions!$B$9</f>
        <v>0</v>
      </c>
      <c r="D6" s="175" t="n">
        <f aca="false">(SUM(Helpers!O97:Z97)-SUM(Helpers!O96:Z96))*Assumptions!$B$11/Assumptions!$B$9</f>
        <v>0</v>
      </c>
      <c r="E6" s="175" t="n">
        <v>0</v>
      </c>
      <c r="F6" s="176" t="n">
        <f aca="false">SUM(Helpers!O97:Z97)</f>
        <v>0</v>
      </c>
      <c r="G6" s="175" t="n">
        <f aca="false">SUM(Helpers!O99:Z99)</f>
        <v>4442933.8984063</v>
      </c>
      <c r="H6" s="176" t="n">
        <f aca="false">SUM(Helpers!O100:Z100)</f>
        <v>0</v>
      </c>
      <c r="I6" s="177" t="n">
        <f aca="false">-SUM(Model!N234:Y234)</f>
        <v>-0</v>
      </c>
      <c r="J6" s="175" t="n">
        <f aca="false">Personnel!$C$46</f>
        <v>222000</v>
      </c>
      <c r="K6" s="178" t="n">
        <f aca="false">I6+J6</f>
        <v>222000</v>
      </c>
      <c r="L6" s="179" t="n">
        <f aca="false">IFERROR(I6/K6,0)</f>
        <v>-0</v>
      </c>
      <c r="M6" s="170" t="n">
        <f aca="false">SUM(Helpers!O101:Z101)</f>
        <v>0</v>
      </c>
      <c r="N6" s="170" t="n">
        <f aca="false">B6-M6</f>
        <v>0</v>
      </c>
      <c r="O6" s="170" t="n">
        <f aca="false">IFERROR(H6*M6/B6,0)</f>
        <v>0</v>
      </c>
      <c r="P6" s="170" t="n">
        <f aca="false">H6-O6</f>
        <v>0</v>
      </c>
      <c r="Q6" s="173" t="n">
        <f aca="false">IF(N6&gt;=Assumptions!$B$86,Assumptions!$C$86,IF(N6&gt;=Assumptions!$B$85,Assumptions!$C$85,IF(N6&gt;=Assumptions!$B$84,Assumptions!$C$84,Assumptions!$C$83)))</f>
        <v>0.25</v>
      </c>
      <c r="R6" s="170" t="n">
        <f aca="false">O6*Q6*0.1</f>
        <v>0</v>
      </c>
      <c r="S6" s="170" t="n">
        <f aca="false">P6*0.1</f>
        <v>0</v>
      </c>
    </row>
    <row r="7" customFormat="false" ht="15" hidden="false" customHeight="true" outlineLevel="0" collapsed="false">
      <c r="A7" s="167" t="s">
        <v>278</v>
      </c>
      <c r="B7" s="168" t="n">
        <f aca="false">SUM(Helpers!AA96:AL96)</f>
        <v>0</v>
      </c>
      <c r="C7" s="168" t="n">
        <f aca="false">(SUM(Helpers!AA97:AL97)-SUM(Helpers!AA96:AL96))*(Assumptions!$B$10+Assumptions!$B$12)/Assumptions!$B$9</f>
        <v>0</v>
      </c>
      <c r="D7" s="168" t="n">
        <f aca="false">(SUM(Helpers!AA97:AL97)-SUM(Helpers!AA96:AL96))*Assumptions!$B$11/Assumptions!$B$9</f>
        <v>0</v>
      </c>
      <c r="E7" s="168" t="n">
        <v>0</v>
      </c>
      <c r="F7" s="169" t="n">
        <f aca="false">SUM(Helpers!AA97:AL97)</f>
        <v>0</v>
      </c>
      <c r="G7" s="168" t="n">
        <f aca="false">SUM(Helpers!AA99:AL99)</f>
        <v>2455745.3073617</v>
      </c>
      <c r="H7" s="169" t="n">
        <f aca="false">SUM(Helpers!AA100:AL100)</f>
        <v>0</v>
      </c>
      <c r="I7" s="170" t="n">
        <f aca="false">-SUM(Model!Z234:AK234)</f>
        <v>-0</v>
      </c>
      <c r="J7" s="168" t="n">
        <f aca="false">Personnel!$C$46</f>
        <v>222000</v>
      </c>
      <c r="K7" s="171" t="n">
        <f aca="false">I7+J7</f>
        <v>222000</v>
      </c>
      <c r="L7" s="172" t="n">
        <f aca="false">IFERROR(I7/K7,0)</f>
        <v>-0</v>
      </c>
      <c r="M7" s="170" t="n">
        <f aca="false">SUM(Helpers!AA101:AL101)</f>
        <v>0</v>
      </c>
      <c r="N7" s="170" t="n">
        <f aca="false">B7-M7</f>
        <v>0</v>
      </c>
      <c r="O7" s="170" t="n">
        <f aca="false">IFERROR(H7*M7/B7,0)</f>
        <v>0</v>
      </c>
      <c r="P7" s="170" t="n">
        <f aca="false">H7-O7</f>
        <v>0</v>
      </c>
      <c r="Q7" s="173" t="n">
        <f aca="false">IF(N7&gt;=Assumptions!$B$86,Assumptions!$C$86,IF(N7&gt;=Assumptions!$B$85,Assumptions!$C$85,IF(N7&gt;=Assumptions!$B$84,Assumptions!$C$84,Assumptions!$C$83)))</f>
        <v>0.25</v>
      </c>
      <c r="R7" s="170" t="n">
        <f aca="false">O7*Q7*0.1</f>
        <v>0</v>
      </c>
      <c r="S7" s="170" t="n">
        <f aca="false">P7*0.1</f>
        <v>0</v>
      </c>
    </row>
    <row r="8" customFormat="false" ht="15" hidden="false" customHeight="true" outlineLevel="0" collapsed="false">
      <c r="A8" s="174" t="s">
        <v>279</v>
      </c>
      <c r="B8" s="175" t="n">
        <f aca="false">SUM(Helpers!AM96:AX96)</f>
        <v>0</v>
      </c>
      <c r="C8" s="175" t="n">
        <f aca="false">(SUM(Helpers!AM97:AX97)-SUM(Helpers!AM96:AX96))*(Assumptions!$B$10+Assumptions!$B$12)/Assumptions!$B$9</f>
        <v>0</v>
      </c>
      <c r="D8" s="175" t="n">
        <f aca="false">(SUM(Helpers!AM97:AX97)-SUM(Helpers!AM96:AX96))*Assumptions!$B$11/Assumptions!$B$9</f>
        <v>0</v>
      </c>
      <c r="E8" s="175" t="n">
        <v>0</v>
      </c>
      <c r="F8" s="176" t="n">
        <f aca="false">SUM(Helpers!AM97:AX97)</f>
        <v>0</v>
      </c>
      <c r="G8" s="175" t="n">
        <f aca="false">SUM(Helpers!AM99:AX99)</f>
        <v>-1777201.2732713</v>
      </c>
      <c r="H8" s="176" t="n">
        <f aca="false">SUM(Helpers!AM100:AX100)</f>
        <v>0</v>
      </c>
      <c r="I8" s="177" t="n">
        <f aca="false">-SUM(Model!AL234:AW234)</f>
        <v>-0</v>
      </c>
      <c r="J8" s="175" t="n">
        <f aca="false">Personnel!$C$46</f>
        <v>222000</v>
      </c>
      <c r="K8" s="178" t="n">
        <f aca="false">I8+J8</f>
        <v>222000</v>
      </c>
      <c r="L8" s="179" t="n">
        <f aca="false">IFERROR(I8/K8,0)</f>
        <v>-0</v>
      </c>
      <c r="M8" s="170" t="n">
        <f aca="false">SUM(Helpers!AM101:AX101)</f>
        <v>0</v>
      </c>
      <c r="N8" s="170" t="n">
        <f aca="false">B8-M8</f>
        <v>0</v>
      </c>
      <c r="O8" s="170" t="n">
        <f aca="false">IFERROR(H8*M8/B8,0)</f>
        <v>0</v>
      </c>
      <c r="P8" s="170" t="n">
        <f aca="false">H8-O8</f>
        <v>0</v>
      </c>
      <c r="Q8" s="173" t="n">
        <f aca="false">IF(N8&gt;=Assumptions!$B$86,Assumptions!$C$86,IF(N8&gt;=Assumptions!$B$85,Assumptions!$C$85,IF(N8&gt;=Assumptions!$B$84,Assumptions!$C$84,Assumptions!$C$83)))</f>
        <v>0.25</v>
      </c>
      <c r="R8" s="170" t="n">
        <f aca="false">O8*Q8*0.1</f>
        <v>0</v>
      </c>
      <c r="S8" s="170" t="n">
        <f aca="false">P8*0.1</f>
        <v>0</v>
      </c>
    </row>
    <row r="9" customFormat="false" ht="15" hidden="false" customHeight="true" outlineLevel="0" collapsed="false">
      <c r="A9" s="167" t="s">
        <v>280</v>
      </c>
      <c r="B9" s="168" t="n">
        <f aca="false">SUM(Helpers!AY96:BJ96)</f>
        <v>0</v>
      </c>
      <c r="C9" s="168" t="n">
        <f aca="false">(SUM(Helpers!AY97:BJ97)-SUM(Helpers!AY96:BJ96))*(Assumptions!$B$10+Assumptions!$B$12)/Assumptions!$B$9</f>
        <v>0</v>
      </c>
      <c r="D9" s="168" t="n">
        <f aca="false">(SUM(Helpers!AY97:BJ97)-SUM(Helpers!AY96:BJ96))*Assumptions!$B$11/Assumptions!$B$9</f>
        <v>0</v>
      </c>
      <c r="E9" s="168" t="n">
        <v>0</v>
      </c>
      <c r="F9" s="169" t="n">
        <f aca="false">SUM(Helpers!AY97:BJ97)</f>
        <v>0</v>
      </c>
      <c r="G9" s="168" t="n">
        <f aca="false">SUM(Helpers!AY99:BJ99)</f>
        <v>-5015836.97777965</v>
      </c>
      <c r="H9" s="169" t="n">
        <f aca="false">SUM(Helpers!AY100:BJ100)</f>
        <v>0</v>
      </c>
      <c r="I9" s="170" t="n">
        <f aca="false">-SUM(Model!AX234:BI234)</f>
        <v>-0</v>
      </c>
      <c r="J9" s="168" t="n">
        <f aca="false">Personnel!$C$46</f>
        <v>222000</v>
      </c>
      <c r="K9" s="171" t="n">
        <f aca="false">I9+J9</f>
        <v>222000</v>
      </c>
      <c r="L9" s="172" t="n">
        <f aca="false">IFERROR(I9/K9,0)</f>
        <v>-0</v>
      </c>
      <c r="M9" s="170" t="n">
        <f aca="false">SUM(Helpers!AY101:BJ101)</f>
        <v>0</v>
      </c>
      <c r="N9" s="170" t="n">
        <f aca="false">B9-M9</f>
        <v>0</v>
      </c>
      <c r="O9" s="170" t="n">
        <f aca="false">IFERROR(H9*M9/B9,0)</f>
        <v>0</v>
      </c>
      <c r="P9" s="170" t="n">
        <f aca="false">H9-O9</f>
        <v>0</v>
      </c>
      <c r="Q9" s="173" t="n">
        <f aca="false">IF(N9&gt;=Assumptions!$B$86,Assumptions!$C$86,IF(N9&gt;=Assumptions!$B$85,Assumptions!$C$85,IF(N9&gt;=Assumptions!$B$84,Assumptions!$C$84,Assumptions!$C$83)))</f>
        <v>0.25</v>
      </c>
      <c r="R9" s="170" t="n">
        <f aca="false">O9*Q9*0.1</f>
        <v>0</v>
      </c>
      <c r="S9" s="170" t="n">
        <f aca="false">P9*0.1</f>
        <v>0</v>
      </c>
    </row>
    <row r="10" customFormat="false" ht="15" hidden="false" customHeight="true" outlineLevel="0" collapsed="false">
      <c r="A10" s="174" t="s">
        <v>281</v>
      </c>
      <c r="B10" s="175" t="n">
        <f aca="false">SUM(Helpers!BK96:BV96)</f>
        <v>0</v>
      </c>
      <c r="C10" s="175" t="n">
        <f aca="false">(SUM(Helpers!BK97:BV97)-SUM(Helpers!BK96:BV96))*(Assumptions!$B$10+Assumptions!$B$12)/Assumptions!$B$9</f>
        <v>0</v>
      </c>
      <c r="D10" s="175" t="n">
        <f aca="false">(SUM(Helpers!BK97:BV97)-SUM(Helpers!BK96:BV96))*Assumptions!$B$11/Assumptions!$B$9</f>
        <v>0</v>
      </c>
      <c r="E10" s="175" t="n">
        <v>0</v>
      </c>
      <c r="F10" s="176" t="n">
        <f aca="false">SUM(Helpers!BK97:BV97)</f>
        <v>0</v>
      </c>
      <c r="G10" s="175" t="n">
        <f aca="false">SUM(Helpers!BK99:BV99)</f>
        <v>-5107221.71733524</v>
      </c>
      <c r="H10" s="176" t="n">
        <f aca="false">SUM(Helpers!BK100:BV100)</f>
        <v>0</v>
      </c>
      <c r="I10" s="177" t="n">
        <f aca="false">-SUM(Model!BJ234:BU234)</f>
        <v>-0</v>
      </c>
      <c r="J10" s="175" t="n">
        <f aca="false">Personnel!$C$46</f>
        <v>222000</v>
      </c>
      <c r="K10" s="178" t="n">
        <f aca="false">I10+J10</f>
        <v>222000</v>
      </c>
      <c r="L10" s="179" t="n">
        <f aca="false">IFERROR(I10/K10,0)</f>
        <v>-0</v>
      </c>
      <c r="M10" s="170" t="n">
        <f aca="false">SUM(Helpers!BK101:BV101)</f>
        <v>0</v>
      </c>
      <c r="N10" s="170" t="n">
        <f aca="false">B10-M10</f>
        <v>0</v>
      </c>
      <c r="O10" s="170" t="n">
        <f aca="false">IFERROR(H10*M10/B10,0)</f>
        <v>0</v>
      </c>
      <c r="P10" s="170" t="n">
        <f aca="false">H10-O10</f>
        <v>0</v>
      </c>
      <c r="Q10" s="173" t="n">
        <f aca="false">IF(N10&gt;=Assumptions!$B$86,Assumptions!$C$86,IF(N10&gt;=Assumptions!$B$85,Assumptions!$C$85,IF(N10&gt;=Assumptions!$B$84,Assumptions!$C$84,Assumptions!$C$83)))</f>
        <v>0.25</v>
      </c>
      <c r="R10" s="170" t="n">
        <f aca="false">O10*Q10*0.1</f>
        <v>0</v>
      </c>
      <c r="S10" s="170" t="n">
        <f aca="false">P10*0.1</f>
        <v>0</v>
      </c>
    </row>
    <row r="11" customFormat="false" ht="15" hidden="false" customHeight="true" outlineLevel="0" collapsed="false">
      <c r="A11" s="167" t="s">
        <v>282</v>
      </c>
      <c r="B11" s="168" t="n">
        <f aca="false">SUM(Helpers!BW96:CH96)</f>
        <v>0</v>
      </c>
      <c r="C11" s="168" t="n">
        <f aca="false">(SUM(Helpers!BW97:CH97)-SUM(Helpers!BW96:CH96))*(Assumptions!$B$10+Assumptions!$B$12)/Assumptions!$B$9</f>
        <v>0</v>
      </c>
      <c r="D11" s="168" t="n">
        <f aca="false">(SUM(Helpers!BW97:CH97)-SUM(Helpers!BW96:CH96))*Assumptions!$B$11/Assumptions!$B$9</f>
        <v>0</v>
      </c>
      <c r="E11" s="168" t="n">
        <v>0</v>
      </c>
      <c r="F11" s="169" t="n">
        <f aca="false">SUM(Helpers!BW97:CH97)</f>
        <v>0</v>
      </c>
      <c r="G11" s="168" t="n">
        <f aca="false">SUM(Helpers!BW99:CH99)</f>
        <v>-5200434.15168195</v>
      </c>
      <c r="H11" s="169" t="n">
        <f aca="false">SUM(Helpers!BW100:CH100)</f>
        <v>0</v>
      </c>
      <c r="I11" s="170" t="n">
        <f aca="false">-SUM(Model!BV234:CG234)</f>
        <v>-0</v>
      </c>
      <c r="J11" s="168" t="n">
        <f aca="false">Personnel!$C$46</f>
        <v>222000</v>
      </c>
      <c r="K11" s="171" t="n">
        <f aca="false">I11+J11</f>
        <v>222000</v>
      </c>
      <c r="L11" s="172" t="n">
        <f aca="false">IFERROR(I11/K11,0)</f>
        <v>-0</v>
      </c>
      <c r="M11" s="170" t="n">
        <f aca="false">SUM(Helpers!BW101:CH101)</f>
        <v>0</v>
      </c>
      <c r="N11" s="170" t="n">
        <f aca="false">B11-M11</f>
        <v>0</v>
      </c>
      <c r="O11" s="170" t="n">
        <f aca="false">IFERROR(H11*M11/B11,0)</f>
        <v>0</v>
      </c>
      <c r="P11" s="170" t="n">
        <f aca="false">H11-O11</f>
        <v>0</v>
      </c>
      <c r="Q11" s="173" t="n">
        <f aca="false">IF(N11&gt;=Assumptions!$B$86,Assumptions!$C$86,IF(N11&gt;=Assumptions!$B$85,Assumptions!$C$85,IF(N11&gt;=Assumptions!$B$84,Assumptions!$C$84,Assumptions!$C$83)))</f>
        <v>0.25</v>
      </c>
      <c r="R11" s="170" t="n">
        <f aca="false">O11*Q11*0.1</f>
        <v>0</v>
      </c>
      <c r="S11" s="170" t="n">
        <f aca="false">P11*0.1</f>
        <v>0</v>
      </c>
    </row>
    <row r="12" customFormat="false" ht="15" hidden="false" customHeight="true" outlineLevel="0" collapsed="false">
      <c r="A12" s="174" t="s">
        <v>283</v>
      </c>
      <c r="B12" s="175" t="n">
        <f aca="false">SUM(Helpers!CI96:CT96)</f>
        <v>0</v>
      </c>
      <c r="C12" s="175" t="n">
        <f aca="false">(SUM(Helpers!CI97:CT97)-SUM(Helpers!CI96:CT96))*(Assumptions!$B$10+Assumptions!$B$12)/Assumptions!$B$9</f>
        <v>0</v>
      </c>
      <c r="D12" s="175" t="n">
        <f aca="false">(SUM(Helpers!CI97:CT97)-SUM(Helpers!CI96:CT96))*Assumptions!$B$11/Assumptions!$B$9</f>
        <v>0</v>
      </c>
      <c r="E12" s="175" t="n">
        <v>0</v>
      </c>
      <c r="F12" s="176" t="n">
        <f aca="false">SUM(Helpers!CI97:CT97)</f>
        <v>0</v>
      </c>
      <c r="G12" s="175" t="n">
        <f aca="false">SUM(Helpers!CI99:CT99)</f>
        <v>-5295510.83471559</v>
      </c>
      <c r="H12" s="176" t="n">
        <f aca="false">SUM(Helpers!CI100:CT100)</f>
        <v>0</v>
      </c>
      <c r="I12" s="177" t="n">
        <f aca="false">-SUM(Model!CH234:CS234)</f>
        <v>-0</v>
      </c>
      <c r="J12" s="175" t="n">
        <f aca="false">Personnel!$C$46</f>
        <v>222000</v>
      </c>
      <c r="K12" s="178" t="n">
        <f aca="false">I12+J12</f>
        <v>222000</v>
      </c>
      <c r="L12" s="179" t="n">
        <f aca="false">IFERROR(I12/K12,0)</f>
        <v>-0</v>
      </c>
      <c r="M12" s="170" t="n">
        <f aca="false">SUM(Helpers!CI101:CT101)</f>
        <v>0</v>
      </c>
      <c r="N12" s="170" t="n">
        <f aca="false">B12-M12</f>
        <v>0</v>
      </c>
      <c r="O12" s="170" t="n">
        <f aca="false">IFERROR(H12*M12/B12,0)</f>
        <v>0</v>
      </c>
      <c r="P12" s="170" t="n">
        <f aca="false">H12-O12</f>
        <v>0</v>
      </c>
      <c r="Q12" s="173" t="n">
        <f aca="false">IF(N12&gt;=Assumptions!$B$86,Assumptions!$C$86,IF(N12&gt;=Assumptions!$B$85,Assumptions!$C$85,IF(N12&gt;=Assumptions!$B$84,Assumptions!$C$84,Assumptions!$C$83)))</f>
        <v>0.25</v>
      </c>
      <c r="R12" s="170" t="n">
        <f aca="false">O12*Q12*0.1</f>
        <v>0</v>
      </c>
      <c r="S12" s="170" t="n">
        <f aca="false">P12*0.1</f>
        <v>0</v>
      </c>
    </row>
    <row r="13" customFormat="false" ht="15" hidden="false" customHeight="true" outlineLevel="0" collapsed="false">
      <c r="A13" s="135" t="s">
        <v>578</v>
      </c>
      <c r="B13" s="180" t="n">
        <f aca="false">SUM(B5:B12)</f>
        <v>0</v>
      </c>
      <c r="C13" s="180" t="n">
        <f aca="false">SUM(C5:C12)</f>
        <v>0</v>
      </c>
      <c r="D13" s="180" t="n">
        <f aca="false">SUM(D5:D12)</f>
        <v>0</v>
      </c>
      <c r="E13" s="180" t="n">
        <f aca="false">SUM(E5:E12)</f>
        <v>0</v>
      </c>
      <c r="F13" s="180" t="n">
        <f aca="false">SUM(F5:F12)</f>
        <v>0</v>
      </c>
      <c r="G13" s="180" t="n">
        <f aca="false">SUM(G5:G12)</f>
        <v>-13108994.7580157</v>
      </c>
      <c r="H13" s="180" t="n">
        <f aca="false">SUM(H5:H12)</f>
        <v>0</v>
      </c>
      <c r="I13" s="181" t="n">
        <f aca="false">SUM(I5:I12)</f>
        <v>0</v>
      </c>
      <c r="J13" s="180" t="n">
        <f aca="false">SUM(J5:J12)</f>
        <v>1720500</v>
      </c>
      <c r="K13" s="180" t="n">
        <f aca="false">SUM(K5:K12)</f>
        <v>1720500</v>
      </c>
      <c r="L13" s="182" t="n">
        <f aca="false">IFERROR(I13/K13,0)</f>
        <v>0</v>
      </c>
      <c r="M13" s="181" t="n">
        <f aca="false">SUM(M5:M12)</f>
        <v>0</v>
      </c>
      <c r="N13" s="181" t="n">
        <f aca="false">SUM(N5:N12)</f>
        <v>0</v>
      </c>
      <c r="O13" s="181" t="n">
        <f aca="false">SUM(O5:O12)</f>
        <v>0</v>
      </c>
      <c r="P13" s="181" t="n">
        <f aca="false">SUM(P5:P12)</f>
        <v>0</v>
      </c>
      <c r="Q13" s="183" t="n">
        <f aca="false">IFERROR(R13/O13,0)</f>
        <v>0</v>
      </c>
      <c r="R13" s="181" t="n">
        <f aca="false">SUM(R5:R12)</f>
        <v>0</v>
      </c>
      <c r="S13" s="181" t="n">
        <f aca="false">SUM(S5:S12)</f>
        <v>0</v>
      </c>
    </row>
    <row r="15" customFormat="false" ht="15" hidden="false" customHeight="true" outlineLevel="0" collapsed="false">
      <c r="A15" s="94" t="s">
        <v>208</v>
      </c>
    </row>
    <row r="16" customFormat="false" ht="15" hidden="false" customHeight="true" outlineLevel="0" collapsed="false">
      <c r="A16" s="184" t="s">
        <v>579</v>
      </c>
      <c r="B16" s="184"/>
      <c r="C16" s="184"/>
      <c r="D16" s="184"/>
      <c r="E16" s="184"/>
      <c r="F16" s="184"/>
      <c r="G16" s="184"/>
      <c r="H16" s="184"/>
    </row>
    <row r="17" customFormat="false" ht="15" hidden="false" customHeight="true" outlineLevel="0" collapsed="false">
      <c r="A17" s="184" t="s">
        <v>580</v>
      </c>
      <c r="B17" s="184"/>
      <c r="C17" s="184"/>
      <c r="D17" s="184"/>
      <c r="E17" s="184"/>
      <c r="F17" s="184"/>
      <c r="G17" s="184"/>
      <c r="H17" s="184"/>
    </row>
    <row r="18" customFormat="false" ht="15" hidden="false" customHeight="true" outlineLevel="0" collapsed="false">
      <c r="A18" s="184" t="s">
        <v>581</v>
      </c>
      <c r="B18" s="184"/>
      <c r="C18" s="184"/>
      <c r="D18" s="184"/>
      <c r="E18" s="184"/>
      <c r="F18" s="184"/>
      <c r="G18" s="184"/>
      <c r="H18" s="184"/>
    </row>
    <row r="19" customFormat="false" ht="15" hidden="false" customHeight="true" outlineLevel="0" collapsed="false">
      <c r="A19" s="184" t="s">
        <v>582</v>
      </c>
      <c r="B19" s="184"/>
      <c r="C19" s="184"/>
      <c r="D19" s="184"/>
      <c r="E19" s="184"/>
      <c r="F19" s="184"/>
      <c r="G19" s="184"/>
      <c r="H19" s="184"/>
    </row>
    <row r="20" customFormat="false" ht="15" hidden="false" customHeight="true" outlineLevel="0" collapsed="false">
      <c r="A20" s="184" t="s">
        <v>583</v>
      </c>
      <c r="B20" s="184"/>
      <c r="C20" s="184"/>
      <c r="D20" s="184"/>
      <c r="E20" s="184"/>
      <c r="F20" s="184"/>
      <c r="G20" s="184"/>
      <c r="H20" s="184"/>
    </row>
    <row r="21" customFormat="false" ht="15" hidden="false" customHeight="true" outlineLevel="0" collapsed="false">
      <c r="A21" s="72" t="s">
        <v>584</v>
      </c>
    </row>
    <row r="22" customFormat="false" ht="15" hidden="false" customHeight="true" outlineLevel="0" collapsed="false">
      <c r="A22" s="72" t="s">
        <v>585</v>
      </c>
    </row>
    <row r="23" customFormat="false" ht="15" hidden="false" customHeight="true" outlineLevel="0" collapsed="false">
      <c r="A23" s="72" t="s">
        <v>586</v>
      </c>
    </row>
    <row r="24" customFormat="false" ht="15" hidden="false" customHeight="true" outlineLevel="0" collapsed="false">
      <c r="A24" s="72" t="s">
        <v>587</v>
      </c>
    </row>
    <row r="25" customFormat="false" ht="15" hidden="false" customHeight="true" outlineLevel="0" collapsed="false">
      <c r="A25" s="72" t="s">
        <v>588</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30468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589</v>
      </c>
      <c r="B1" s="44" t="s">
        <v>590</v>
      </c>
      <c r="C1" s="44" t="s">
        <v>591</v>
      </c>
      <c r="D1" s="44" t="s">
        <v>592</v>
      </c>
      <c r="E1" s="44" t="s">
        <v>593</v>
      </c>
      <c r="F1" s="44" t="s">
        <v>594</v>
      </c>
      <c r="G1" s="44" t="s">
        <v>595</v>
      </c>
      <c r="H1" s="44" t="s">
        <v>596</v>
      </c>
      <c r="I1" s="44" t="s">
        <v>597</v>
      </c>
      <c r="J1" s="44" t="s">
        <v>598</v>
      </c>
      <c r="K1" s="44" t="s">
        <v>599</v>
      </c>
      <c r="L1" s="44" t="s">
        <v>600</v>
      </c>
      <c r="N1" s="44" t="s">
        <v>601</v>
      </c>
      <c r="O1" s="44" t="s">
        <v>602</v>
      </c>
      <c r="P1" s="44" t="s">
        <v>603</v>
      </c>
      <c r="Q1" s="44" t="s">
        <v>604</v>
      </c>
      <c r="R1" s="44" t="s">
        <v>605</v>
      </c>
      <c r="S1" s="44" t="s">
        <v>606</v>
      </c>
      <c r="T1" s="44" t="s">
        <v>607</v>
      </c>
      <c r="V1" s="1" t="s">
        <v>608</v>
      </c>
      <c r="W1" s="185" t="s">
        <v>609</v>
      </c>
      <c r="X1" s="186" t="s">
        <v>610</v>
      </c>
    </row>
    <row r="2" customFormat="false" ht="15" hidden="false" customHeight="true" outlineLevel="0" collapsed="false">
      <c r="A2" s="187" t="s">
        <v>7</v>
      </c>
      <c r="B2" s="188" t="n">
        <v>7126075</v>
      </c>
      <c r="C2" s="189" t="n">
        <v>1</v>
      </c>
      <c r="D2" s="189" t="n">
        <v>8</v>
      </c>
      <c r="E2" s="189" t="n">
        <v>2</v>
      </c>
      <c r="F2" s="189" t="s">
        <v>611</v>
      </c>
      <c r="G2" s="189" t="s">
        <v>612</v>
      </c>
      <c r="H2" s="189" t="n">
        <v>0</v>
      </c>
      <c r="I2" s="190" t="n">
        <f aca="false">IF(H2=1,Assumptions!$B$16,IF(H2=2,Assumptions!$B$17,0))</f>
        <v>0</v>
      </c>
      <c r="J2" s="189" t="s">
        <v>611</v>
      </c>
      <c r="K2" s="189" t="s">
        <v>611</v>
      </c>
      <c r="L2" s="189" t="s">
        <v>613</v>
      </c>
      <c r="N2" s="188" t="n">
        <v>194932</v>
      </c>
      <c r="O2" s="188" t="n">
        <f aca="false">B2*Assumptions!$B$11</f>
        <v>367676.9657</v>
      </c>
      <c r="P2" s="188" t="n">
        <v>46323</v>
      </c>
      <c r="Q2" s="188" t="n">
        <f aca="false">N2+O2+P2</f>
        <v>608931.9657</v>
      </c>
      <c r="R2" s="188" t="n">
        <f aca="false">Q2*0.05</f>
        <v>30446.598285</v>
      </c>
      <c r="S2" s="187" t="n">
        <f aca="false">C2+D2-1</f>
        <v>8</v>
      </c>
      <c r="T2" s="191"/>
      <c r="V2" s="1" t="s">
        <v>614</v>
      </c>
      <c r="W2" s="192" t="n">
        <f aca="false">C2+D2-1</f>
        <v>8</v>
      </c>
    </row>
    <row r="3" customFormat="false" ht="15" hidden="false" customHeight="true" outlineLevel="0" collapsed="false">
      <c r="A3" s="187" t="s">
        <v>8</v>
      </c>
      <c r="B3" s="188" t="n">
        <v>20176449</v>
      </c>
      <c r="C3" s="189" t="n">
        <v>1</v>
      </c>
      <c r="D3" s="189"/>
      <c r="E3" s="189"/>
      <c r="F3" s="189" t="s">
        <v>611</v>
      </c>
      <c r="G3" s="189" t="s">
        <v>612</v>
      </c>
      <c r="H3" s="189" t="n">
        <v>0</v>
      </c>
      <c r="I3" s="190" t="n">
        <f aca="false">IF(H3=1,Assumptions!$B$16,IF(H3=2,Assumptions!$B$17,0))</f>
        <v>0</v>
      </c>
      <c r="J3" s="189" t="s">
        <v>611</v>
      </c>
      <c r="K3" s="189" t="s">
        <v>611</v>
      </c>
      <c r="L3" s="189" t="s">
        <v>613</v>
      </c>
      <c r="N3" s="188" t="n">
        <v>888067</v>
      </c>
      <c r="O3" s="188" t="n">
        <f aca="false">B3*Assumptions!$B$11</f>
        <v>1041024.062604</v>
      </c>
      <c r="P3" s="188" t="n">
        <v>176626</v>
      </c>
      <c r="Q3" s="188" t="n">
        <f aca="false">N3+O3+P3</f>
        <v>2105717.062604</v>
      </c>
      <c r="R3" s="188" t="n">
        <f aca="false">Q3*0.05</f>
        <v>105285.8531302</v>
      </c>
      <c r="S3" s="187" t="n">
        <f aca="false">C3+D3-1</f>
        <v>0</v>
      </c>
      <c r="T3" s="191"/>
      <c r="V3" s="1" t="s">
        <v>615</v>
      </c>
      <c r="W3" s="192" t="n">
        <v>18</v>
      </c>
    </row>
    <row r="4" customFormat="false" ht="15" hidden="false" customHeight="true" outlineLevel="0" collapsed="false">
      <c r="A4" s="187" t="s">
        <v>9</v>
      </c>
      <c r="B4" s="188" t="n">
        <v>11929880</v>
      </c>
      <c r="C4" s="189" t="n">
        <v>1</v>
      </c>
      <c r="D4" s="189"/>
      <c r="E4" s="189"/>
      <c r="F4" s="189" t="s">
        <v>612</v>
      </c>
      <c r="G4" s="189" t="s">
        <v>612</v>
      </c>
      <c r="H4" s="189" t="n">
        <v>1</v>
      </c>
      <c r="I4" s="190" t="n">
        <f aca="false">IF(H4=1,Assumptions!$B$16,IF(H4=2,Assumptions!$B$17,0))</f>
        <v>0.0074</v>
      </c>
      <c r="J4" s="189" t="s">
        <v>611</v>
      </c>
      <c r="K4" s="189" t="s">
        <v>612</v>
      </c>
      <c r="L4" s="189" t="s">
        <v>616</v>
      </c>
      <c r="N4" s="188" t="n">
        <f aca="false">B4*Assumptions!$B$10</f>
        <v>615534.08848</v>
      </c>
      <c r="O4" s="188" t="n">
        <f aca="false">B4*Assumptions!$B$11</f>
        <v>615534.08848</v>
      </c>
      <c r="P4" s="188" t="n">
        <f aca="false">B4*Assumptions!$B$12</f>
        <v>205182.00612</v>
      </c>
      <c r="Q4" s="188" t="n">
        <f aca="false">N4+O4+P4</f>
        <v>1436250.18308</v>
      </c>
      <c r="R4" s="188" t="n">
        <f aca="false">Q4*0.05</f>
        <v>71812.509154</v>
      </c>
      <c r="S4" s="187" t="n">
        <f aca="false">C4+D4-1</f>
        <v>0</v>
      </c>
      <c r="T4" s="191"/>
      <c r="W4" s="192" t="n">
        <v>17</v>
      </c>
    </row>
    <row r="5" customFormat="false" ht="15" hidden="false" customHeight="true" outlineLevel="0" collapsed="false">
      <c r="A5" s="187" t="s">
        <v>10</v>
      </c>
      <c r="B5" s="188" t="n">
        <v>14427884</v>
      </c>
      <c r="C5" s="189" t="n">
        <v>1</v>
      </c>
      <c r="D5" s="189"/>
      <c r="E5" s="189"/>
      <c r="F5" s="189" t="s">
        <v>612</v>
      </c>
      <c r="G5" s="189" t="s">
        <v>612</v>
      </c>
      <c r="H5" s="189" t="n">
        <v>1</v>
      </c>
      <c r="I5" s="190" t="n">
        <f aca="false">IF(H5=1,Assumptions!$B$16,IF(H5=2,Assumptions!$B$17,0))</f>
        <v>0.0074</v>
      </c>
      <c r="J5" s="189" t="s">
        <v>611</v>
      </c>
      <c r="K5" s="189" t="s">
        <v>612</v>
      </c>
      <c r="L5" s="189" t="s">
        <v>616</v>
      </c>
      <c r="N5" s="188" t="n">
        <f aca="false">B5*Assumptions!$B$10</f>
        <v>744421.102864</v>
      </c>
      <c r="O5" s="188" t="n">
        <f aca="false">B5*Assumptions!$B$11</f>
        <v>744421.102864</v>
      </c>
      <c r="P5" s="188" t="n">
        <f aca="false">B5*Assumptions!$B$12</f>
        <v>248145.176916</v>
      </c>
      <c r="Q5" s="188" t="n">
        <f aca="false">N5+O5+P5</f>
        <v>1736987.382644</v>
      </c>
      <c r="R5" s="188" t="n">
        <f aca="false">Q5*0.05</f>
        <v>86849.3691322</v>
      </c>
      <c r="S5" s="187" t="n">
        <f aca="false">C5+D5-1</f>
        <v>0</v>
      </c>
      <c r="T5" s="191"/>
      <c r="W5" s="192" t="n">
        <v>19</v>
      </c>
    </row>
    <row r="6" customFormat="false" ht="15" hidden="false" customHeight="true" outlineLevel="0" collapsed="false">
      <c r="A6" s="187" t="s">
        <v>11</v>
      </c>
      <c r="B6" s="188" t="n">
        <v>3623245</v>
      </c>
      <c r="C6" s="189" t="n">
        <v>1</v>
      </c>
      <c r="D6" s="189"/>
      <c r="E6" s="189"/>
      <c r="F6" s="189" t="s">
        <v>611</v>
      </c>
      <c r="G6" s="189" t="s">
        <v>612</v>
      </c>
      <c r="H6" s="189" t="n">
        <v>0</v>
      </c>
      <c r="I6" s="190" t="n">
        <f aca="false">IF(H6=1,Assumptions!$B$16,IF(H6=2,Assumptions!$B$17,0))</f>
        <v>0</v>
      </c>
      <c r="J6" s="189" t="s">
        <v>611</v>
      </c>
      <c r="K6" s="189" t="s">
        <v>612</v>
      </c>
      <c r="L6" s="189" t="s">
        <v>616</v>
      </c>
      <c r="N6" s="188" t="n">
        <v>245000</v>
      </c>
      <c r="O6" s="188" t="n">
        <f aca="false">B6*Assumptions!$B$11</f>
        <v>186944.94902</v>
      </c>
      <c r="P6" s="188" t="n">
        <v>0</v>
      </c>
      <c r="Q6" s="188" t="n">
        <f aca="false">N6+O6+P6</f>
        <v>431944.94902</v>
      </c>
      <c r="R6" s="188" t="n">
        <f aca="false">Q6*0.05</f>
        <v>21597.247451</v>
      </c>
      <c r="S6" s="187" t="n">
        <f aca="false">C6+D6-1</f>
        <v>0</v>
      </c>
      <c r="T6" s="191" t="n">
        <f aca="false">Assumptions!$B$15</f>
        <v>0.015</v>
      </c>
      <c r="W6" s="192" t="n">
        <v>15</v>
      </c>
    </row>
    <row r="7" customFormat="false" ht="15" hidden="false" customHeight="true" outlineLevel="0" collapsed="false">
      <c r="A7" s="187" t="s">
        <v>12</v>
      </c>
      <c r="B7" s="188" t="n">
        <v>42794765</v>
      </c>
      <c r="C7" s="189" t="n">
        <v>5</v>
      </c>
      <c r="D7" s="189"/>
      <c r="E7" s="189"/>
      <c r="F7" s="189" t="s">
        <v>612</v>
      </c>
      <c r="G7" s="189" t="s">
        <v>612</v>
      </c>
      <c r="H7" s="189" t="n">
        <v>1</v>
      </c>
      <c r="I7" s="190" t="n">
        <f aca="false">Assumptions!$B$18</f>
        <v>0.00725158134079107</v>
      </c>
      <c r="J7" s="189" t="s">
        <v>612</v>
      </c>
      <c r="K7" s="189" t="s">
        <v>612</v>
      </c>
      <c r="L7" s="189" t="s">
        <v>613</v>
      </c>
      <c r="N7" s="188" t="n">
        <f aca="false">B7*Assumptions!$B$10</f>
        <v>2208038.69494</v>
      </c>
      <c r="O7" s="188" t="n">
        <f aca="false">B7*Assumptions!$B$11</f>
        <v>2208038.69494</v>
      </c>
      <c r="P7" s="188" t="n">
        <f aca="false">B7*Assumptions!$B$12</f>
        <v>736027.163235</v>
      </c>
      <c r="Q7" s="188" t="n">
        <f aca="false">N7+O7+P7</f>
        <v>5152104.553115</v>
      </c>
      <c r="R7" s="188" t="n">
        <f aca="false">Q7*0.05</f>
        <v>257605.22765575</v>
      </c>
      <c r="S7" s="187" t="n">
        <f aca="false">C7+D7-1</f>
        <v>4</v>
      </c>
      <c r="T7" s="191" t="n">
        <f aca="false">839113/B7</f>
        <v>0.0196078422208885</v>
      </c>
      <c r="W7" s="192" t="n">
        <v>36</v>
      </c>
    </row>
    <row r="8" customFormat="false" ht="15" hidden="false" customHeight="true" outlineLevel="0" collapsed="false">
      <c r="A8" s="187" t="s">
        <v>13</v>
      </c>
      <c r="B8" s="188" t="n">
        <v>12993776.05</v>
      </c>
      <c r="C8" s="189" t="n">
        <v>6</v>
      </c>
      <c r="D8" s="189" t="n">
        <v>19</v>
      </c>
      <c r="E8" s="189" t="n">
        <v>3</v>
      </c>
      <c r="F8" s="189" t="s">
        <v>612</v>
      </c>
      <c r="G8" s="189" t="s">
        <v>612</v>
      </c>
      <c r="H8" s="189" t="n">
        <v>1</v>
      </c>
      <c r="I8" s="190" t="n">
        <f aca="false">Assumptions!$B$18</f>
        <v>0.00725158134079107</v>
      </c>
      <c r="J8" s="189" t="s">
        <v>611</v>
      </c>
      <c r="K8" s="189" t="s">
        <v>612</v>
      </c>
      <c r="L8" s="189" t="s">
        <v>616</v>
      </c>
      <c r="N8" s="188" t="n">
        <f aca="false">B8*Assumptions!$B$10</f>
        <v>670426.8690758</v>
      </c>
      <c r="O8" s="188" t="n">
        <f aca="false">B8*Assumptions!$B$11</f>
        <v>670426.8690758</v>
      </c>
      <c r="P8" s="188" t="n">
        <f aca="false">B8*Assumptions!$B$12</f>
        <v>223479.95428395</v>
      </c>
      <c r="Q8" s="188" t="n">
        <f aca="false">N8+O8+P8</f>
        <v>1564333.69243555</v>
      </c>
      <c r="R8" s="188" t="n">
        <f aca="false">Q8*0.05</f>
        <v>78216.6846217775</v>
      </c>
      <c r="S8" s="187" t="n">
        <f aca="false">C8+D8-1</f>
        <v>24</v>
      </c>
      <c r="T8" s="191" t="n">
        <f aca="false">192026.25/B8</f>
        <v>0.0147783253506205</v>
      </c>
      <c r="W8" s="192" t="n">
        <f aca="false">C8+D8-1</f>
        <v>24</v>
      </c>
    </row>
    <row r="9" customFormat="false" ht="15" hidden="false" customHeight="true" outlineLevel="0" collapsed="false">
      <c r="A9" s="187" t="s">
        <v>14</v>
      </c>
      <c r="B9" s="188" t="n">
        <v>14337010.8</v>
      </c>
      <c r="C9" s="189" t="n">
        <v>5</v>
      </c>
      <c r="D9" s="189" t="n">
        <v>19</v>
      </c>
      <c r="E9" s="189" t="n">
        <v>3</v>
      </c>
      <c r="F9" s="189" t="s">
        <v>612</v>
      </c>
      <c r="G9" s="189" t="s">
        <v>612</v>
      </c>
      <c r="H9" s="189" t="n">
        <v>1</v>
      </c>
      <c r="I9" s="190" t="n">
        <v>0</v>
      </c>
      <c r="J9" s="189" t="s">
        <v>611</v>
      </c>
      <c r="K9" s="189" t="s">
        <v>612</v>
      </c>
      <c r="L9" s="189" t="s">
        <v>616</v>
      </c>
      <c r="N9" s="188" t="n">
        <f aca="false">B9*Assumptions!$B$10</f>
        <v>739732.4092368</v>
      </c>
      <c r="O9" s="188" t="n">
        <f aca="false">B9*Assumptions!$B$11</f>
        <v>739732.4092368</v>
      </c>
      <c r="P9" s="188" t="n">
        <f aca="false">B9*Assumptions!$B$12</f>
        <v>246582.2487492</v>
      </c>
      <c r="Q9" s="188" t="n">
        <f aca="false">N9+O9+P9</f>
        <v>1726047.0672228</v>
      </c>
      <c r="R9" s="188" t="n">
        <f aca="false">Q9*0.05</f>
        <v>86302.35336114</v>
      </c>
      <c r="S9" s="187" t="n">
        <f aca="false">C9+D9-1</f>
        <v>23</v>
      </c>
      <c r="T9" s="191" t="n">
        <f aca="false">211877.01/B9</f>
        <v>0.0147783253396168</v>
      </c>
      <c r="W9" s="192" t="n">
        <f aca="false">C9+D9-1</f>
        <v>23</v>
      </c>
    </row>
    <row r="10" customFormat="false" ht="15" hidden="false" customHeight="true" outlineLevel="0" collapsed="false">
      <c r="A10" s="187" t="s">
        <v>15</v>
      </c>
      <c r="B10" s="188" t="n">
        <v>22072845.45</v>
      </c>
      <c r="C10" s="189" t="n">
        <v>15</v>
      </c>
      <c r="D10" s="189" t="n">
        <v>24</v>
      </c>
      <c r="E10" s="189" t="n">
        <v>2</v>
      </c>
      <c r="F10" s="189" t="s">
        <v>612</v>
      </c>
      <c r="G10" s="189" t="s">
        <v>612</v>
      </c>
      <c r="H10" s="189" t="n">
        <v>2</v>
      </c>
      <c r="I10" s="190" t="n">
        <f aca="false">IF(H10=1,Assumptions!$B$16,IF(H10=2,Assumptions!$B$17,0))</f>
        <v>0.0325</v>
      </c>
      <c r="J10" s="189" t="s">
        <v>611</v>
      </c>
      <c r="K10" s="189" t="s">
        <v>612</v>
      </c>
      <c r="L10" s="189" t="s">
        <v>616</v>
      </c>
      <c r="N10" s="188" t="n">
        <f aca="false">B10*Assumptions!$B$10</f>
        <v>1138870.5338382</v>
      </c>
      <c r="O10" s="188" t="n">
        <f aca="false">B10*Assumptions!$B$11</f>
        <v>1138870.5338382</v>
      </c>
      <c r="P10" s="188" t="n">
        <f aca="false">B10*Assumptions!$B$12</f>
        <v>379630.86889455</v>
      </c>
      <c r="Q10" s="188" t="n">
        <f aca="false">N10+O10+P10</f>
        <v>2657371.93657095</v>
      </c>
      <c r="R10" s="188" t="n">
        <f aca="false">Q10*0.05</f>
        <v>132868.596828548</v>
      </c>
      <c r="S10" s="187" t="n">
        <f aca="false">C10+D10-1</f>
        <v>38</v>
      </c>
      <c r="T10" s="191" t="n">
        <f aca="false">Assumptions!$B$15</f>
        <v>0.015</v>
      </c>
      <c r="W10" s="192" t="n">
        <f aca="false">C10+D10-1</f>
        <v>38</v>
      </c>
    </row>
    <row r="11" customFormat="false" ht="15" hidden="false" customHeight="true" outlineLevel="0" collapsed="false">
      <c r="A11" s="187" t="s">
        <v>16</v>
      </c>
      <c r="B11" s="188" t="n">
        <v>9577109</v>
      </c>
      <c r="C11" s="189" t="n">
        <v>11</v>
      </c>
      <c r="D11" s="189" t="n">
        <v>19</v>
      </c>
      <c r="E11" s="189" t="n">
        <v>3</v>
      </c>
      <c r="F11" s="189" t="s">
        <v>611</v>
      </c>
      <c r="G11" s="189" t="s">
        <v>612</v>
      </c>
      <c r="H11" s="189" t="n">
        <v>0</v>
      </c>
      <c r="I11" s="190" t="n">
        <f aca="false">IF(H11=1,Assumptions!$B$16,IF(H11=2,Assumptions!$B$17,0))</f>
        <v>0</v>
      </c>
      <c r="J11" s="189" t="s">
        <v>611</v>
      </c>
      <c r="K11" s="189" t="s">
        <v>611</v>
      </c>
      <c r="L11" s="189" t="s">
        <v>613</v>
      </c>
      <c r="N11" s="188" t="n">
        <f aca="false">B11*Assumptions!$B$10</f>
        <v>494140.515964</v>
      </c>
      <c r="O11" s="188" t="n">
        <f aca="false">B11*Assumptions!$B$11</f>
        <v>494140.515964</v>
      </c>
      <c r="P11" s="188" t="n">
        <f aca="false">B11*Assumptions!$B$12</f>
        <v>164716.697691</v>
      </c>
      <c r="Q11" s="188" t="n">
        <f aca="false">N11+O11+P11</f>
        <v>1152997.729619</v>
      </c>
      <c r="R11" s="188" t="n">
        <f aca="false">Q11*0.05</f>
        <v>57649.88648095</v>
      </c>
      <c r="S11" s="187" t="n">
        <f aca="false">C11+D11-1</f>
        <v>29</v>
      </c>
      <c r="T11" s="191" t="n">
        <f aca="false">Assumptions!$B$15</f>
        <v>0.015</v>
      </c>
      <c r="W11" s="192" t="n">
        <f aca="false">C11+D11-1</f>
        <v>29</v>
      </c>
    </row>
    <row r="12" customFormat="false" ht="15" hidden="false" customHeight="true" outlineLevel="0" collapsed="false">
      <c r="A12" s="187" t="s">
        <v>17</v>
      </c>
      <c r="B12" s="188" t="n">
        <v>7545203</v>
      </c>
      <c r="C12" s="189" t="n">
        <v>10</v>
      </c>
      <c r="D12" s="189" t="n">
        <v>19</v>
      </c>
      <c r="E12" s="189" t="n">
        <v>3</v>
      </c>
      <c r="F12" s="189" t="s">
        <v>611</v>
      </c>
      <c r="G12" s="189" t="s">
        <v>612</v>
      </c>
      <c r="H12" s="189" t="n">
        <v>0</v>
      </c>
      <c r="I12" s="190" t="n">
        <f aca="false">IF(H12=1,Assumptions!$B$16,IF(H12=2,Assumptions!$B$17,0))</f>
        <v>0</v>
      </c>
      <c r="J12" s="189" t="s">
        <v>611</v>
      </c>
      <c r="K12" s="189" t="s">
        <v>611</v>
      </c>
      <c r="L12" s="189" t="s">
        <v>613</v>
      </c>
      <c r="N12" s="188" t="n">
        <f aca="false">B12*Assumptions!$B$10</f>
        <v>389302.293988</v>
      </c>
      <c r="O12" s="188" t="n">
        <f aca="false">B12*Assumptions!$B$11</f>
        <v>389302.293988</v>
      </c>
      <c r="P12" s="188" t="n">
        <f aca="false">B12*Assumptions!$B$12</f>
        <v>129769.946397</v>
      </c>
      <c r="Q12" s="188" t="n">
        <f aca="false">N12+O12+P12</f>
        <v>908374.534373</v>
      </c>
      <c r="R12" s="188" t="n">
        <f aca="false">Q12*0.05</f>
        <v>45418.72671865</v>
      </c>
      <c r="S12" s="187" t="n">
        <f aca="false">C12+D12-1</f>
        <v>28</v>
      </c>
      <c r="T12" s="191" t="n">
        <f aca="false">Assumptions!$B$15</f>
        <v>0.015</v>
      </c>
      <c r="W12" s="192" t="n">
        <f aca="false">C12+D12-1</f>
        <v>28</v>
      </c>
    </row>
    <row r="13" customFormat="false" ht="15" hidden="false" customHeight="true" outlineLevel="0" collapsed="false">
      <c r="A13" s="187" t="s">
        <v>18</v>
      </c>
      <c r="B13" s="188" t="n">
        <v>45266770</v>
      </c>
      <c r="C13" s="189" t="n">
        <v>15</v>
      </c>
      <c r="D13" s="189" t="n">
        <v>30</v>
      </c>
      <c r="E13" s="189" t="n">
        <v>1</v>
      </c>
      <c r="F13" s="189" t="s">
        <v>612</v>
      </c>
      <c r="G13" s="189" t="s">
        <v>612</v>
      </c>
      <c r="H13" s="189" t="n">
        <v>2</v>
      </c>
      <c r="I13" s="190" t="n">
        <f aca="false">IF(H13=1,Assumptions!$B$16,IF(H13=2,Assumptions!$B$17,0))</f>
        <v>0.0325</v>
      </c>
      <c r="J13" s="189" t="s">
        <v>612</v>
      </c>
      <c r="K13" s="189" t="s">
        <v>612</v>
      </c>
      <c r="L13" s="189" t="s">
        <v>613</v>
      </c>
      <c r="N13" s="188" t="n">
        <f aca="false">B13*Assumptions!$B$10</f>
        <v>2335584.26492</v>
      </c>
      <c r="O13" s="188" t="n">
        <f aca="false">B13*Assumptions!$B$11</f>
        <v>2335584.26492</v>
      </c>
      <c r="P13" s="188" t="n">
        <f aca="false">B13*Assumptions!$B$12</f>
        <v>778543.17723</v>
      </c>
      <c r="Q13" s="188" t="n">
        <f aca="false">N13+O13+P13</f>
        <v>5449711.70707</v>
      </c>
      <c r="R13" s="188" t="n">
        <f aca="false">Q13*0.05</f>
        <v>272485.5853535</v>
      </c>
      <c r="S13" s="187" t="n">
        <f aca="false">C13+D13-1</f>
        <v>44</v>
      </c>
      <c r="T13" s="191" t="n">
        <f aca="false">Assumptions!$B$15</f>
        <v>0.015</v>
      </c>
      <c r="W13" s="192" t="n">
        <f aca="false">C13+D13-1</f>
        <v>44</v>
      </c>
    </row>
    <row r="14" customFormat="false" ht="15" hidden="false" customHeight="true" outlineLevel="0" collapsed="false">
      <c r="A14" s="187" t="s">
        <v>19</v>
      </c>
      <c r="B14" s="188" t="n">
        <v>41354632</v>
      </c>
      <c r="C14" s="189" t="n">
        <v>27</v>
      </c>
      <c r="D14" s="189" t="n">
        <v>30</v>
      </c>
      <c r="E14" s="189" t="n">
        <v>1</v>
      </c>
      <c r="F14" s="189" t="s">
        <v>612</v>
      </c>
      <c r="G14" s="189" t="s">
        <v>611</v>
      </c>
      <c r="H14" s="189" t="n">
        <v>2</v>
      </c>
      <c r="I14" s="190" t="n">
        <f aca="false">IF(H14=1,Assumptions!$B$16,IF(H14=2,Assumptions!$B$17,0))</f>
        <v>0.0325</v>
      </c>
      <c r="J14" s="189" t="s">
        <v>612</v>
      </c>
      <c r="K14" s="189" t="s">
        <v>612</v>
      </c>
      <c r="L14" s="189" t="s">
        <v>613</v>
      </c>
      <c r="N14" s="188" t="n">
        <f aca="false">B14*Assumptions!$B$10</f>
        <v>2133733.592672</v>
      </c>
      <c r="O14" s="188" t="n">
        <f aca="false">B14*Assumptions!$B$11</f>
        <v>2133733.592672</v>
      </c>
      <c r="P14" s="188" t="n">
        <f aca="false">B14*Assumptions!$B$12</f>
        <v>711258.315768</v>
      </c>
      <c r="Q14" s="188" t="n">
        <f aca="false">N14+O14+P14</f>
        <v>4978725.501112</v>
      </c>
      <c r="R14" s="188" t="n">
        <f aca="false">Q14*0.05</f>
        <v>248936.2750556</v>
      </c>
      <c r="S14" s="187" t="n">
        <f aca="false">C14+D14-1</f>
        <v>56</v>
      </c>
      <c r="T14" s="191" t="n">
        <f aca="false">Assumptions!$B$15</f>
        <v>0.015</v>
      </c>
      <c r="W14" s="19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91"/>
    </row>
    <row r="16" customFormat="false" ht="15" hidden="false" customHeight="true" outlineLevel="0" collapsed="false">
      <c r="A16" s="90"/>
      <c r="B16" s="90"/>
      <c r="C16" s="90"/>
      <c r="D16" s="90"/>
      <c r="E16" s="90"/>
      <c r="F16" s="90"/>
      <c r="G16" s="90"/>
      <c r="H16" s="90"/>
      <c r="I16" s="90"/>
      <c r="J16" s="90"/>
      <c r="K16" s="90"/>
      <c r="L16" s="90"/>
      <c r="M16" s="193" t="s">
        <v>617</v>
      </c>
      <c r="N16" s="90"/>
      <c r="O16" s="90"/>
      <c r="P16" s="90"/>
      <c r="Q16" s="90"/>
      <c r="R16" s="90"/>
      <c r="S16" s="90"/>
      <c r="T16" s="191"/>
    </row>
    <row r="17" customFormat="false" ht="15" hidden="false" customHeight="true" outlineLevel="0" collapsed="false">
      <c r="A17" s="187" t="s">
        <v>20</v>
      </c>
      <c r="B17" s="188" t="n">
        <v>14219545</v>
      </c>
      <c r="C17" s="189" t="n">
        <v>18</v>
      </c>
      <c r="D17" s="189" t="n">
        <v>19</v>
      </c>
      <c r="E17" s="189" t="n">
        <v>3</v>
      </c>
      <c r="F17" s="189" t="s">
        <v>612</v>
      </c>
      <c r="G17" s="189" t="s">
        <v>611</v>
      </c>
      <c r="H17" s="189" t="n">
        <v>2</v>
      </c>
      <c r="I17" s="190" t="n">
        <f aca="false">IF(H17=1,Assumptions!$B$16,IF(H17=2,Assumptions!$B$17,0))</f>
        <v>0.0325</v>
      </c>
      <c r="J17" s="189" t="s">
        <v>611</v>
      </c>
      <c r="K17" s="189" t="s">
        <v>611</v>
      </c>
      <c r="L17" s="189" t="s">
        <v>613</v>
      </c>
      <c r="M17" s="194" t="s">
        <v>612</v>
      </c>
      <c r="N17" s="188" t="n">
        <f aca="false">B17*Assumptions!$B$10</f>
        <v>733671.64382</v>
      </c>
      <c r="O17" s="188" t="n">
        <f aca="false">B17*Assumptions!$B$11</f>
        <v>733671.64382</v>
      </c>
      <c r="P17" s="188" t="n">
        <f aca="false">B17*Assumptions!$B$12</f>
        <v>244561.954455</v>
      </c>
      <c r="Q17" s="188" t="n">
        <f aca="false">N17+O17+P17</f>
        <v>1711905.242095</v>
      </c>
      <c r="R17" s="188" t="n">
        <f aca="false">Q17*0.05</f>
        <v>85595.26210475</v>
      </c>
      <c r="S17" s="187" t="n">
        <f aca="false">C17+D17-1</f>
        <v>36</v>
      </c>
      <c r="T17" s="191" t="n">
        <f aca="false">Assumptions!$B$15</f>
        <v>0.015</v>
      </c>
      <c r="W17" s="192" t="n">
        <f aca="false">C17+D17-1</f>
        <v>36</v>
      </c>
      <c r="X17" s="1" t="s">
        <v>611</v>
      </c>
    </row>
    <row r="18" customFormat="false" ht="15" hidden="false" customHeight="true" outlineLevel="0" collapsed="false">
      <c r="A18" s="187" t="s">
        <v>21</v>
      </c>
      <c r="B18" s="188" t="n">
        <v>11537565</v>
      </c>
      <c r="C18" s="189" t="n">
        <v>14</v>
      </c>
      <c r="D18" s="189" t="n">
        <v>19</v>
      </c>
      <c r="E18" s="189" t="n">
        <v>3</v>
      </c>
      <c r="F18" s="189" t="s">
        <v>612</v>
      </c>
      <c r="G18" s="189" t="s">
        <v>611</v>
      </c>
      <c r="H18" s="189" t="n">
        <v>2</v>
      </c>
      <c r="I18" s="190" t="n">
        <f aca="false">IF(H18=1,Assumptions!$B$16,IF(H18=2,Assumptions!$B$17,0))</f>
        <v>0.0325</v>
      </c>
      <c r="J18" s="189" t="s">
        <v>611</v>
      </c>
      <c r="K18" s="189" t="s">
        <v>611</v>
      </c>
      <c r="L18" s="189" t="s">
        <v>613</v>
      </c>
      <c r="M18" s="194" t="s">
        <v>612</v>
      </c>
      <c r="N18" s="188" t="n">
        <f aca="false">B18*Assumptions!$B$10</f>
        <v>595292.20374</v>
      </c>
      <c r="O18" s="188" t="n">
        <f aca="false">B18*Assumptions!$B$11</f>
        <v>595292.20374</v>
      </c>
      <c r="P18" s="188" t="n">
        <f aca="false">B18*Assumptions!$B$12</f>
        <v>198434.580435</v>
      </c>
      <c r="Q18" s="188" t="n">
        <f aca="false">N18+O18+P18</f>
        <v>1389018.987915</v>
      </c>
      <c r="R18" s="188" t="n">
        <f aca="false">Q18*0.05</f>
        <v>69450.94939575</v>
      </c>
      <c r="S18" s="187" t="n">
        <f aca="false">C18+D18-1</f>
        <v>32</v>
      </c>
      <c r="T18" s="191" t="n">
        <f aca="false">Assumptions!$B$15</f>
        <v>0.015</v>
      </c>
      <c r="W18" s="192" t="n">
        <f aca="false">C18+D18-1</f>
        <v>32</v>
      </c>
      <c r="X18" s="1" t="s">
        <v>611</v>
      </c>
    </row>
    <row r="19" customFormat="false" ht="15" hidden="false" customHeight="true" outlineLevel="0" collapsed="false">
      <c r="A19" s="187" t="s">
        <v>22</v>
      </c>
      <c r="B19" s="188" t="n">
        <v>18764585</v>
      </c>
      <c r="C19" s="189" t="n">
        <v>13</v>
      </c>
      <c r="D19" s="189" t="n">
        <v>18</v>
      </c>
      <c r="E19" s="189" t="n">
        <v>3</v>
      </c>
      <c r="F19" s="189" t="s">
        <v>612</v>
      </c>
      <c r="G19" s="189" t="s">
        <v>611</v>
      </c>
      <c r="H19" s="189" t="n">
        <v>2</v>
      </c>
      <c r="I19" s="190" t="n">
        <f aca="false">IF(H19=1,Assumptions!$B$16,IF(H19=2,Assumptions!$B$17,0))</f>
        <v>0.0325</v>
      </c>
      <c r="J19" s="189" t="s">
        <v>611</v>
      </c>
      <c r="K19" s="189" t="s">
        <v>611</v>
      </c>
      <c r="L19" s="189" t="s">
        <v>613</v>
      </c>
      <c r="M19" s="194" t="s">
        <v>612</v>
      </c>
      <c r="N19" s="188" t="n">
        <f aca="false">B19*Assumptions!$B$10</f>
        <v>968177.52766</v>
      </c>
      <c r="O19" s="188" t="n">
        <f aca="false">B19*Assumptions!$B$11</f>
        <v>968177.52766</v>
      </c>
      <c r="P19" s="188" t="n">
        <f aca="false">B19*Assumptions!$B$12</f>
        <v>322732.097415</v>
      </c>
      <c r="Q19" s="188" t="n">
        <f aca="false">N19+O19+P19</f>
        <v>2259087.152735</v>
      </c>
      <c r="R19" s="188" t="n">
        <f aca="false">Q19*0.05</f>
        <v>112954.35763675</v>
      </c>
      <c r="S19" s="187" t="n">
        <f aca="false">C19+D19-1</f>
        <v>30</v>
      </c>
      <c r="T19" s="191" t="n">
        <f aca="false">Assumptions!$B$15</f>
        <v>0.015</v>
      </c>
      <c r="W19" s="192" t="n">
        <f aca="false">C19+D19-1</f>
        <v>30</v>
      </c>
      <c r="X19" s="1" t="s">
        <v>611</v>
      </c>
    </row>
    <row r="20" customFormat="false" ht="15" hidden="false" customHeight="true" outlineLevel="0" collapsed="false">
      <c r="A20" s="187" t="s">
        <v>23</v>
      </c>
      <c r="B20" s="188" t="n">
        <v>25026330.58</v>
      </c>
      <c r="C20" s="189" t="n">
        <v>20</v>
      </c>
      <c r="D20" s="189" t="n">
        <v>24</v>
      </c>
      <c r="E20" s="189" t="n">
        <v>2</v>
      </c>
      <c r="F20" s="189" t="s">
        <v>611</v>
      </c>
      <c r="G20" s="189" t="s">
        <v>611</v>
      </c>
      <c r="H20" s="189" t="n">
        <v>0</v>
      </c>
      <c r="I20" s="190" t="n">
        <f aca="false">IF(H20=1,Assumptions!$B$16,IF(H20=2,Assumptions!$B$17,0))</f>
        <v>0</v>
      </c>
      <c r="J20" s="189" t="s">
        <v>611</v>
      </c>
      <c r="K20" s="189" t="s">
        <v>611</v>
      </c>
      <c r="L20" s="189" t="s">
        <v>616</v>
      </c>
      <c r="M20" s="194" t="s">
        <v>611</v>
      </c>
      <c r="N20" s="188" t="n">
        <f aca="false">B20*Assumptions!$B$10</f>
        <v>1291258.55260568</v>
      </c>
      <c r="O20" s="188" t="n">
        <f aca="false">B20*Assumptions!$B$11</f>
        <v>1291258.55260568</v>
      </c>
      <c r="P20" s="188" t="n">
        <f aca="false">B20*Assumptions!$B$12</f>
        <v>430427.85964542</v>
      </c>
      <c r="Q20" s="188" t="n">
        <f aca="false">N20+O20+P20</f>
        <v>3012944.96485678</v>
      </c>
      <c r="R20" s="188" t="n">
        <f aca="false">Q20*0.05</f>
        <v>150647.248242839</v>
      </c>
      <c r="S20" s="187" t="n">
        <f aca="false">C20+D20-1</f>
        <v>43</v>
      </c>
      <c r="T20" s="191"/>
      <c r="W20" s="192" t="n">
        <f aca="false">C20+D20-1</f>
        <v>43</v>
      </c>
      <c r="X20" s="1" t="s">
        <v>612</v>
      </c>
    </row>
    <row r="21" customFormat="false" ht="15" hidden="false" customHeight="true" outlineLevel="0" collapsed="false">
      <c r="A21" s="187" t="s">
        <v>618</v>
      </c>
      <c r="B21" s="188" t="n">
        <v>14935493</v>
      </c>
      <c r="C21" s="189" t="n">
        <v>9</v>
      </c>
      <c r="D21" s="189" t="n">
        <v>20</v>
      </c>
      <c r="E21" s="189" t="n">
        <v>3</v>
      </c>
      <c r="F21" s="189" t="s">
        <v>611</v>
      </c>
      <c r="G21" s="189" t="s">
        <v>612</v>
      </c>
      <c r="H21" s="189" t="n">
        <v>0</v>
      </c>
      <c r="I21" s="190" t="n">
        <f aca="false">IF(H21=1,Assumptions!$B$16,IF(H21=2,Assumptions!$B$17,0))</f>
        <v>0</v>
      </c>
      <c r="J21" s="189" t="s">
        <v>611</v>
      </c>
      <c r="K21" s="189" t="s">
        <v>611</v>
      </c>
      <c r="L21" s="189" t="s">
        <v>616</v>
      </c>
      <c r="M21" s="194" t="s">
        <v>612</v>
      </c>
      <c r="N21" s="188" t="n">
        <v>650000</v>
      </c>
      <c r="O21" s="188" t="n">
        <v>694071</v>
      </c>
      <c r="P21" s="188" t="n">
        <v>270857</v>
      </c>
      <c r="Q21" s="188" t="n">
        <f aca="false">N21+O21+P21</f>
        <v>1614928</v>
      </c>
      <c r="R21" s="188" t="n">
        <f aca="false">Q21*0.05</f>
        <v>80746.4</v>
      </c>
      <c r="S21" s="187" t="n">
        <f aca="false">C21+D21-1</f>
        <v>28</v>
      </c>
      <c r="T21" s="191"/>
      <c r="W21" s="192" t="n">
        <f aca="false">C21+D21-1</f>
        <v>28</v>
      </c>
      <c r="X21" s="1" t="s">
        <v>611</v>
      </c>
    </row>
    <row r="22" customFormat="false" ht="15" hidden="false" customHeight="true" outlineLevel="0" collapsed="false">
      <c r="A22" s="187" t="s">
        <v>25</v>
      </c>
      <c r="B22" s="188" t="n">
        <v>13706000</v>
      </c>
      <c r="C22" s="189" t="n">
        <v>19</v>
      </c>
      <c r="D22" s="189" t="n">
        <v>19</v>
      </c>
      <c r="E22" s="189" t="n">
        <v>3</v>
      </c>
      <c r="F22" s="189" t="s">
        <v>612</v>
      </c>
      <c r="G22" s="189" t="s">
        <v>611</v>
      </c>
      <c r="H22" s="189" t="n">
        <v>2</v>
      </c>
      <c r="I22" s="190" t="n">
        <f aca="false">IF(H22=1,Assumptions!$B$16,IF(H22=2,Assumptions!$B$17,0))</f>
        <v>0.0325</v>
      </c>
      <c r="J22" s="189" t="s">
        <v>611</v>
      </c>
      <c r="K22" s="189" t="s">
        <v>611</v>
      </c>
      <c r="L22" s="189" t="s">
        <v>613</v>
      </c>
      <c r="M22" s="194" t="s">
        <v>612</v>
      </c>
      <c r="N22" s="188" t="n">
        <f aca="false">B22*Assumptions!$B$10</f>
        <v>707174.776</v>
      </c>
      <c r="O22" s="188" t="n">
        <f aca="false">B22*Assumptions!$B$11</f>
        <v>707174.776</v>
      </c>
      <c r="P22" s="188" t="n">
        <f aca="false">B22*Assumptions!$B$12</f>
        <v>235729.494</v>
      </c>
      <c r="Q22" s="188" t="n">
        <f aca="false">N22+O22+P22</f>
        <v>1650079.046</v>
      </c>
      <c r="R22" s="188" t="n">
        <f aca="false">Q22*0.05</f>
        <v>82503.9523</v>
      </c>
      <c r="S22" s="187" t="n">
        <f aca="false">C22+D22-1</f>
        <v>37</v>
      </c>
      <c r="T22" s="191" t="n">
        <f aca="false">Assumptions!$B$15</f>
        <v>0.015</v>
      </c>
      <c r="W22" s="192" t="n">
        <f aca="false">C22+D22-1</f>
        <v>37</v>
      </c>
      <c r="X22" s="1" t="s">
        <v>611</v>
      </c>
    </row>
    <row r="23" customFormat="false" ht="15" hidden="false" customHeight="true" outlineLevel="0" collapsed="false">
      <c r="A23" s="187" t="s">
        <v>26</v>
      </c>
      <c r="B23" s="188" t="n">
        <v>15000000</v>
      </c>
      <c r="C23" s="189" t="n">
        <v>34</v>
      </c>
      <c r="D23" s="189" t="n">
        <v>19</v>
      </c>
      <c r="E23" s="189" t="n">
        <v>3</v>
      </c>
      <c r="F23" s="189" t="s">
        <v>612</v>
      </c>
      <c r="G23" s="189" t="s">
        <v>611</v>
      </c>
      <c r="H23" s="189" t="n">
        <v>2</v>
      </c>
      <c r="I23" s="190" t="n">
        <f aca="false">IF(H23=1,Assumptions!$B$16,IF(H23=2,Assumptions!$B$17,0))</f>
        <v>0.0325</v>
      </c>
      <c r="J23" s="189" t="s">
        <v>611</v>
      </c>
      <c r="K23" s="189" t="s">
        <v>611</v>
      </c>
      <c r="L23" s="189" t="s">
        <v>616</v>
      </c>
      <c r="M23" s="194" t="s">
        <v>612</v>
      </c>
      <c r="N23" s="188" t="n">
        <v>730519</v>
      </c>
      <c r="O23" s="188" t="n">
        <v>730519</v>
      </c>
      <c r="P23" s="188" t="n">
        <v>243506</v>
      </c>
      <c r="Q23" s="188" t="n">
        <f aca="false">N23+O23+P23</f>
        <v>1704544</v>
      </c>
      <c r="R23" s="188" t="n">
        <f aca="false">Q23*0.05</f>
        <v>85227.2</v>
      </c>
      <c r="S23" s="187" t="n">
        <f aca="false">C23+D23-1</f>
        <v>52</v>
      </c>
      <c r="T23" s="191" t="n">
        <f aca="false">Assumptions!$B$15</f>
        <v>0.015</v>
      </c>
      <c r="W23" s="192" t="n">
        <f aca="false">C23+D23-1</f>
        <v>52</v>
      </c>
      <c r="X23" s="1" t="s">
        <v>612</v>
      </c>
    </row>
    <row r="24" customFormat="false" ht="15" hidden="false" customHeight="true" outlineLevel="0" collapsed="false">
      <c r="A24" s="187" t="s">
        <v>27</v>
      </c>
      <c r="B24" s="188" t="n">
        <v>18000000</v>
      </c>
      <c r="C24" s="189" t="n">
        <v>37</v>
      </c>
      <c r="D24" s="189" t="n">
        <v>19</v>
      </c>
      <c r="E24" s="189" t="n">
        <v>3</v>
      </c>
      <c r="F24" s="189" t="s">
        <v>611</v>
      </c>
      <c r="G24" s="189" t="s">
        <v>611</v>
      </c>
      <c r="H24" s="189" t="n">
        <v>0</v>
      </c>
      <c r="I24" s="190" t="n">
        <f aca="false">IF(H24=1,Assumptions!$B$16,IF(H24=2,Assumptions!$B$17,0))</f>
        <v>0</v>
      </c>
      <c r="J24" s="189" t="s">
        <v>611</v>
      </c>
      <c r="K24" s="189" t="s">
        <v>611</v>
      </c>
      <c r="L24" s="189" t="s">
        <v>616</v>
      </c>
      <c r="M24" s="194" t="s">
        <v>611</v>
      </c>
      <c r="N24" s="188" t="n">
        <v>876623</v>
      </c>
      <c r="O24" s="188" t="n">
        <v>876623</v>
      </c>
      <c r="P24" s="188" t="n">
        <v>292208</v>
      </c>
      <c r="Q24" s="188" t="n">
        <f aca="false">N24+O24+P24</f>
        <v>2045454</v>
      </c>
      <c r="R24" s="188" t="n">
        <f aca="false">Q24*0.05</f>
        <v>102272.7</v>
      </c>
      <c r="S24" s="187" t="n">
        <f aca="false">C24+D24-1</f>
        <v>55</v>
      </c>
      <c r="T24" s="191"/>
      <c r="W24" s="192" t="n">
        <f aca="false">C24+D24-1</f>
        <v>55</v>
      </c>
      <c r="X24" s="1" t="s">
        <v>612</v>
      </c>
    </row>
    <row r="25" customFormat="false" ht="15" hidden="false" customHeight="true" outlineLevel="0" collapsed="false">
      <c r="A25" s="187" t="s">
        <v>28</v>
      </c>
      <c r="B25" s="188" t="n">
        <v>18000000</v>
      </c>
      <c r="C25" s="189" t="n">
        <v>40</v>
      </c>
      <c r="D25" s="189" t="n">
        <v>19</v>
      </c>
      <c r="E25" s="189" t="n">
        <v>3</v>
      </c>
      <c r="F25" s="189" t="s">
        <v>611</v>
      </c>
      <c r="G25" s="189" t="s">
        <v>611</v>
      </c>
      <c r="H25" s="189" t="n">
        <v>0</v>
      </c>
      <c r="I25" s="190" t="n">
        <f aca="false">IF(H25=1,Assumptions!$B$16,IF(H25=2,Assumptions!$B$17,0))</f>
        <v>0</v>
      </c>
      <c r="J25" s="189" t="s">
        <v>611</v>
      </c>
      <c r="K25" s="189" t="s">
        <v>611</v>
      </c>
      <c r="L25" s="189" t="s">
        <v>616</v>
      </c>
      <c r="M25" s="194" t="s">
        <v>611</v>
      </c>
      <c r="N25" s="188" t="n">
        <v>876623</v>
      </c>
      <c r="O25" s="188" t="n">
        <v>876623</v>
      </c>
      <c r="P25" s="188" t="n">
        <v>292208</v>
      </c>
      <c r="Q25" s="188" t="n">
        <f aca="false">N25+O25+P25</f>
        <v>2045454</v>
      </c>
      <c r="R25" s="188" t="n">
        <f aca="false">Q25*0.05</f>
        <v>102272.7</v>
      </c>
      <c r="S25" s="187" t="n">
        <f aca="false">C25+D25-1</f>
        <v>58</v>
      </c>
      <c r="T25" s="191"/>
      <c r="W25" s="192" t="n">
        <f aca="false">C25+D25-1</f>
        <v>58</v>
      </c>
      <c r="X25" s="1" t="s">
        <v>612</v>
      </c>
    </row>
    <row r="26" customFormat="false" ht="15" hidden="false" customHeight="true" outlineLevel="0" collapsed="false">
      <c r="A26" s="187" t="s">
        <v>29</v>
      </c>
      <c r="B26" s="188" t="n">
        <v>18000000</v>
      </c>
      <c r="C26" s="189" t="n">
        <v>42</v>
      </c>
      <c r="D26" s="189" t="n">
        <v>19</v>
      </c>
      <c r="E26" s="189" t="n">
        <v>3</v>
      </c>
      <c r="F26" s="189" t="s">
        <v>611</v>
      </c>
      <c r="G26" s="189" t="s">
        <v>611</v>
      </c>
      <c r="H26" s="189" t="n">
        <v>0</v>
      </c>
      <c r="I26" s="190" t="n">
        <f aca="false">IF(H26=1,Assumptions!$B$16,IF(H26=2,Assumptions!$B$17,0))</f>
        <v>0</v>
      </c>
      <c r="J26" s="189" t="s">
        <v>611</v>
      </c>
      <c r="K26" s="189" t="s">
        <v>611</v>
      </c>
      <c r="L26" s="189" t="s">
        <v>616</v>
      </c>
      <c r="M26" s="194" t="s">
        <v>611</v>
      </c>
      <c r="N26" s="188" t="n">
        <v>876623</v>
      </c>
      <c r="O26" s="188" t="n">
        <v>876623</v>
      </c>
      <c r="P26" s="188" t="n">
        <v>292208</v>
      </c>
      <c r="Q26" s="188" t="n">
        <f aca="false">N26+O26+P26</f>
        <v>2045454</v>
      </c>
      <c r="R26" s="188" t="n">
        <f aca="false">Q26*0.05</f>
        <v>102272.7</v>
      </c>
      <c r="S26" s="187" t="n">
        <f aca="false">C26+D26-1</f>
        <v>60</v>
      </c>
      <c r="T26" s="191"/>
      <c r="W26" s="192" t="n">
        <f aca="false">C26+D26-1</f>
        <v>60</v>
      </c>
      <c r="X26" s="1" t="s">
        <v>612</v>
      </c>
    </row>
    <row r="27" customFormat="false" ht="15" hidden="false" customHeight="true" outlineLevel="0" collapsed="false">
      <c r="A27" s="187" t="s">
        <v>30</v>
      </c>
      <c r="B27" s="188" t="n">
        <v>15000000</v>
      </c>
      <c r="C27" s="189" t="n">
        <v>44</v>
      </c>
      <c r="D27" s="189" t="n">
        <v>19</v>
      </c>
      <c r="E27" s="189" t="n">
        <v>3</v>
      </c>
      <c r="F27" s="189" t="s">
        <v>611</v>
      </c>
      <c r="G27" s="189" t="s">
        <v>611</v>
      </c>
      <c r="H27" s="189" t="n">
        <v>0</v>
      </c>
      <c r="I27" s="190" t="n">
        <f aca="false">IF(H27=1,Assumptions!$B$16,IF(H27=2,Assumptions!$B$17,0))</f>
        <v>0</v>
      </c>
      <c r="J27" s="189" t="s">
        <v>611</v>
      </c>
      <c r="K27" s="189" t="s">
        <v>611</v>
      </c>
      <c r="L27" s="189" t="s">
        <v>616</v>
      </c>
      <c r="M27" s="194" t="s">
        <v>611</v>
      </c>
      <c r="N27" s="188" t="n">
        <v>730519</v>
      </c>
      <c r="O27" s="188" t="n">
        <v>730519</v>
      </c>
      <c r="P27" s="188" t="n">
        <v>243506</v>
      </c>
      <c r="Q27" s="188" t="n">
        <f aca="false">N27+O27+P27</f>
        <v>1704544</v>
      </c>
      <c r="R27" s="188" t="n">
        <f aca="false">Q27*0.05</f>
        <v>85227.2</v>
      </c>
      <c r="S27" s="187" t="n">
        <f aca="false">C27+D27-1</f>
        <v>62</v>
      </c>
      <c r="T27" s="191"/>
      <c r="W27" s="192" t="n">
        <f aca="false">C27+D27-1</f>
        <v>62</v>
      </c>
      <c r="X27" s="1" t="s">
        <v>612</v>
      </c>
    </row>
    <row r="28" customFormat="false" ht="15" hidden="false" customHeight="true" outlineLevel="0" collapsed="false">
      <c r="A28" s="187" t="s">
        <v>31</v>
      </c>
      <c r="B28" s="188" t="n">
        <v>15000000</v>
      </c>
      <c r="C28" s="189" t="n">
        <v>46</v>
      </c>
      <c r="D28" s="189" t="n">
        <v>19</v>
      </c>
      <c r="E28" s="189" t="n">
        <v>3</v>
      </c>
      <c r="F28" s="189" t="s">
        <v>612</v>
      </c>
      <c r="G28" s="189" t="s">
        <v>611</v>
      </c>
      <c r="H28" s="189" t="n">
        <v>2</v>
      </c>
      <c r="I28" s="190" t="n">
        <f aca="false">IF(H28=1,Assumptions!$B$16,IF(H28=2,Assumptions!$B$17,0))</f>
        <v>0.0325</v>
      </c>
      <c r="J28" s="189" t="s">
        <v>611</v>
      </c>
      <c r="K28" s="189" t="s">
        <v>611</v>
      </c>
      <c r="L28" s="189" t="s">
        <v>616</v>
      </c>
      <c r="M28" s="194" t="s">
        <v>612</v>
      </c>
      <c r="N28" s="188" t="n">
        <v>730519</v>
      </c>
      <c r="O28" s="188" t="n">
        <v>730519</v>
      </c>
      <c r="P28" s="188" t="n">
        <v>243506</v>
      </c>
      <c r="Q28" s="188" t="n">
        <f aca="false">N28+O28+P28</f>
        <v>1704544</v>
      </c>
      <c r="R28" s="188" t="n">
        <f aca="false">Q28*0.05</f>
        <v>85227.2</v>
      </c>
      <c r="S28" s="187" t="n">
        <f aca="false">C28+D28-1</f>
        <v>64</v>
      </c>
      <c r="T28" s="191" t="n">
        <f aca="false">Assumptions!$B$15</f>
        <v>0.015</v>
      </c>
      <c r="W28" s="192" t="n">
        <f aca="false">C28+D28-1</f>
        <v>64</v>
      </c>
      <c r="X28" s="1" t="s">
        <v>612</v>
      </c>
    </row>
    <row r="29" customFormat="false" ht="15" hidden="false" customHeight="true" outlineLevel="0" collapsed="false">
      <c r="A29" s="187" t="s">
        <v>32</v>
      </c>
      <c r="B29" s="188" t="n">
        <v>15000000</v>
      </c>
      <c r="C29" s="189" t="n">
        <v>48</v>
      </c>
      <c r="D29" s="189" t="n">
        <v>19</v>
      </c>
      <c r="E29" s="189" t="n">
        <v>3</v>
      </c>
      <c r="F29" s="189" t="s">
        <v>611</v>
      </c>
      <c r="G29" s="189" t="s">
        <v>611</v>
      </c>
      <c r="H29" s="189" t="n">
        <v>0</v>
      </c>
      <c r="I29" s="190" t="n">
        <f aca="false">IF(H29=1,Assumptions!$B$16,IF(H29=2,Assumptions!$B$17,0))</f>
        <v>0</v>
      </c>
      <c r="J29" s="189" t="s">
        <v>611</v>
      </c>
      <c r="K29" s="189" t="s">
        <v>611</v>
      </c>
      <c r="L29" s="189" t="s">
        <v>616</v>
      </c>
      <c r="M29" s="194" t="s">
        <v>611</v>
      </c>
      <c r="N29" s="188" t="n">
        <v>730519</v>
      </c>
      <c r="O29" s="188" t="n">
        <v>730519</v>
      </c>
      <c r="P29" s="188" t="n">
        <v>243506</v>
      </c>
      <c r="Q29" s="188" t="n">
        <f aca="false">N29+O29+P29</f>
        <v>1704544</v>
      </c>
      <c r="R29" s="188" t="n">
        <f aca="false">Q29*0.05</f>
        <v>85227.2</v>
      </c>
      <c r="S29" s="187" t="n">
        <f aca="false">C29+D29-1</f>
        <v>66</v>
      </c>
      <c r="T29" s="191"/>
      <c r="W29" s="192" t="n">
        <f aca="false">C29+D29-1</f>
        <v>66</v>
      </c>
      <c r="X29" s="1" t="s">
        <v>612</v>
      </c>
    </row>
    <row r="30" customFormat="false" ht="15" hidden="false" customHeight="true" outlineLevel="0" collapsed="false">
      <c r="A30" s="187" t="s">
        <v>33</v>
      </c>
      <c r="B30" s="188" t="n">
        <v>15000000</v>
      </c>
      <c r="C30" s="189" t="n">
        <v>50</v>
      </c>
      <c r="D30" s="189" t="n">
        <v>19</v>
      </c>
      <c r="E30" s="189" t="n">
        <v>3</v>
      </c>
      <c r="F30" s="189" t="s">
        <v>611</v>
      </c>
      <c r="G30" s="189" t="s">
        <v>611</v>
      </c>
      <c r="H30" s="189" t="n">
        <v>0</v>
      </c>
      <c r="I30" s="190" t="n">
        <f aca="false">IF(H30=1,Assumptions!$B$16,IF(H30=2,Assumptions!$B$17,0))</f>
        <v>0</v>
      </c>
      <c r="J30" s="189" t="s">
        <v>611</v>
      </c>
      <c r="K30" s="189" t="s">
        <v>611</v>
      </c>
      <c r="L30" s="189" t="s">
        <v>616</v>
      </c>
      <c r="M30" s="194" t="s">
        <v>611</v>
      </c>
      <c r="N30" s="188" t="n">
        <v>730519</v>
      </c>
      <c r="O30" s="188" t="n">
        <v>730519</v>
      </c>
      <c r="P30" s="188" t="n">
        <v>243506</v>
      </c>
      <c r="Q30" s="188" t="n">
        <f aca="false">N30+O30+P30</f>
        <v>1704544</v>
      </c>
      <c r="R30" s="188" t="n">
        <f aca="false">Q30*0.05</f>
        <v>85227.2</v>
      </c>
      <c r="S30" s="187" t="n">
        <f aca="false">C30+D30-1</f>
        <v>68</v>
      </c>
      <c r="T30" s="191"/>
      <c r="W30" s="192" t="n">
        <f aca="false">C30+D30-1</f>
        <v>68</v>
      </c>
      <c r="X30" s="1" t="s">
        <v>612</v>
      </c>
    </row>
    <row r="31" customFormat="false" ht="15" hidden="false" customHeight="true" outlineLevel="0" collapsed="false">
      <c r="A31" s="187" t="s">
        <v>34</v>
      </c>
      <c r="B31" s="188" t="n">
        <v>18000000</v>
      </c>
      <c r="C31" s="189" t="n">
        <v>52</v>
      </c>
      <c r="D31" s="189" t="n">
        <v>19</v>
      </c>
      <c r="E31" s="189" t="n">
        <v>3</v>
      </c>
      <c r="F31" s="189" t="s">
        <v>611</v>
      </c>
      <c r="G31" s="189" t="s">
        <v>611</v>
      </c>
      <c r="H31" s="189" t="n">
        <v>0</v>
      </c>
      <c r="I31" s="190" t="n">
        <f aca="false">IF(H31=1,Assumptions!$B$16,IF(H31=2,Assumptions!$B$17,0))</f>
        <v>0</v>
      </c>
      <c r="J31" s="189" t="s">
        <v>611</v>
      </c>
      <c r="K31" s="189" t="s">
        <v>611</v>
      </c>
      <c r="L31" s="189" t="s">
        <v>616</v>
      </c>
      <c r="M31" s="194" t="s">
        <v>611</v>
      </c>
      <c r="N31" s="188" t="n">
        <v>876623</v>
      </c>
      <c r="O31" s="188" t="n">
        <v>876623</v>
      </c>
      <c r="P31" s="188" t="n">
        <v>292208</v>
      </c>
      <c r="Q31" s="188" t="n">
        <f aca="false">N31+O31+P31</f>
        <v>2045454</v>
      </c>
      <c r="R31" s="188" t="n">
        <f aca="false">Q31*0.05</f>
        <v>102272.7</v>
      </c>
      <c r="S31" s="187" t="n">
        <f aca="false">C31+D31-1</f>
        <v>70</v>
      </c>
      <c r="T31" s="191"/>
      <c r="W31" s="192" t="n">
        <f aca="false">C31+D31-1</f>
        <v>70</v>
      </c>
      <c r="X31" s="1" t="s">
        <v>612</v>
      </c>
    </row>
    <row r="32" customFormat="false" ht="15" hidden="false" customHeight="true" outlineLevel="0" collapsed="false">
      <c r="A32" s="187" t="s">
        <v>35</v>
      </c>
      <c r="B32" s="188" t="n">
        <v>15000000</v>
      </c>
      <c r="C32" s="189" t="n">
        <v>54</v>
      </c>
      <c r="D32" s="189" t="n">
        <v>19</v>
      </c>
      <c r="E32" s="189" t="n">
        <v>3</v>
      </c>
      <c r="F32" s="189" t="s">
        <v>611</v>
      </c>
      <c r="G32" s="189" t="s">
        <v>611</v>
      </c>
      <c r="H32" s="189" t="n">
        <v>0</v>
      </c>
      <c r="I32" s="190" t="n">
        <f aca="false">IF(H32=1,Assumptions!$B$16,IF(H32=2,Assumptions!$B$17,0))</f>
        <v>0</v>
      </c>
      <c r="J32" s="189" t="s">
        <v>611</v>
      </c>
      <c r="K32" s="189" t="s">
        <v>611</v>
      </c>
      <c r="L32" s="189" t="s">
        <v>616</v>
      </c>
      <c r="M32" s="194" t="s">
        <v>611</v>
      </c>
      <c r="N32" s="188" t="n">
        <v>730519</v>
      </c>
      <c r="O32" s="188" t="n">
        <v>730519</v>
      </c>
      <c r="P32" s="188" t="n">
        <v>243506</v>
      </c>
      <c r="Q32" s="188" t="n">
        <f aca="false">N32+O32+P32</f>
        <v>1704544</v>
      </c>
      <c r="R32" s="188" t="n">
        <f aca="false">Q32*0.05</f>
        <v>85227.2</v>
      </c>
      <c r="S32" s="187" t="n">
        <f aca="false">C32+D32-1</f>
        <v>72</v>
      </c>
      <c r="T32" s="191"/>
      <c r="W32" s="192" t="n">
        <f aca="false">C32+D32-1</f>
        <v>72</v>
      </c>
      <c r="X32" s="1" t="s">
        <v>612</v>
      </c>
    </row>
    <row r="33" customFormat="false" ht="15" hidden="false" customHeight="true" outlineLevel="0" collapsed="false">
      <c r="A33" s="187" t="s">
        <v>36</v>
      </c>
      <c r="B33" s="188" t="n">
        <v>15000000</v>
      </c>
      <c r="C33" s="189" t="n">
        <v>56</v>
      </c>
      <c r="D33" s="189" t="n">
        <v>19</v>
      </c>
      <c r="E33" s="189" t="n">
        <v>3</v>
      </c>
      <c r="F33" s="189" t="s">
        <v>611</v>
      </c>
      <c r="G33" s="189" t="s">
        <v>611</v>
      </c>
      <c r="H33" s="189" t="n">
        <v>0</v>
      </c>
      <c r="I33" s="190" t="n">
        <f aca="false">IF(H33=1,Assumptions!$B$16,IF(H33=2,Assumptions!$B$17,0))</f>
        <v>0</v>
      </c>
      <c r="J33" s="189" t="s">
        <v>611</v>
      </c>
      <c r="K33" s="189" t="s">
        <v>611</v>
      </c>
      <c r="L33" s="189" t="s">
        <v>616</v>
      </c>
      <c r="M33" s="194" t="s">
        <v>611</v>
      </c>
      <c r="N33" s="188" t="n">
        <v>730519</v>
      </c>
      <c r="O33" s="188" t="n">
        <v>730519</v>
      </c>
      <c r="P33" s="188" t="n">
        <v>243506</v>
      </c>
      <c r="Q33" s="188" t="n">
        <f aca="false">N33+O33+P33</f>
        <v>1704544</v>
      </c>
      <c r="R33" s="188" t="n">
        <f aca="false">Q33*0.05</f>
        <v>85227.2</v>
      </c>
      <c r="S33" s="187" t="n">
        <f aca="false">C33+D33-1</f>
        <v>74</v>
      </c>
      <c r="T33" s="191"/>
      <c r="W33" s="192" t="n">
        <f aca="false">C33+D33-1</f>
        <v>74</v>
      </c>
      <c r="X33" s="1" t="s">
        <v>612</v>
      </c>
    </row>
    <row r="34" customFormat="false" ht="15" hidden="false" customHeight="true" outlineLevel="0" collapsed="false">
      <c r="A34" s="187" t="s">
        <v>37</v>
      </c>
      <c r="B34" s="188" t="n">
        <v>18000000</v>
      </c>
      <c r="C34" s="189" t="n">
        <v>58</v>
      </c>
      <c r="D34" s="189" t="n">
        <v>19</v>
      </c>
      <c r="E34" s="189" t="n">
        <v>3</v>
      </c>
      <c r="F34" s="189" t="s">
        <v>612</v>
      </c>
      <c r="G34" s="189" t="s">
        <v>611</v>
      </c>
      <c r="H34" s="189" t="n">
        <v>2</v>
      </c>
      <c r="I34" s="190" t="n">
        <f aca="false">IF(H34=1,Assumptions!$B$16,IF(H34=2,Assumptions!$B$17,0))</f>
        <v>0.0325</v>
      </c>
      <c r="J34" s="189" t="s">
        <v>611</v>
      </c>
      <c r="K34" s="189" t="s">
        <v>611</v>
      </c>
      <c r="L34" s="189" t="s">
        <v>616</v>
      </c>
      <c r="M34" s="194" t="s">
        <v>612</v>
      </c>
      <c r="N34" s="188" t="n">
        <v>876623</v>
      </c>
      <c r="O34" s="188" t="n">
        <v>876623</v>
      </c>
      <c r="P34" s="188" t="n">
        <v>292208</v>
      </c>
      <c r="Q34" s="188" t="n">
        <f aca="false">N34+O34+P34</f>
        <v>2045454</v>
      </c>
      <c r="R34" s="188" t="n">
        <f aca="false">Q34*0.05</f>
        <v>102272.7</v>
      </c>
      <c r="S34" s="187" t="n">
        <f aca="false">C34+D34-1</f>
        <v>76</v>
      </c>
      <c r="T34" s="191" t="n">
        <f aca="false">Assumptions!$B$15</f>
        <v>0.015</v>
      </c>
      <c r="W34" s="192" t="n">
        <f aca="false">C34+D34-1</f>
        <v>76</v>
      </c>
      <c r="X34" s="1" t="s">
        <v>612</v>
      </c>
    </row>
    <row r="35" customFormat="false" ht="15" hidden="false" customHeight="true" outlineLevel="0" collapsed="false">
      <c r="A35" s="187" t="s">
        <v>38</v>
      </c>
      <c r="B35" s="188" t="n">
        <v>15000000</v>
      </c>
      <c r="C35" s="189" t="n">
        <v>60</v>
      </c>
      <c r="D35" s="189" t="n">
        <v>19</v>
      </c>
      <c r="E35" s="189" t="n">
        <v>3</v>
      </c>
      <c r="F35" s="189" t="s">
        <v>611</v>
      </c>
      <c r="G35" s="189" t="s">
        <v>611</v>
      </c>
      <c r="H35" s="189" t="n">
        <v>0</v>
      </c>
      <c r="I35" s="190" t="n">
        <f aca="false">IF(H35=1,Assumptions!$B$16,IF(H35=2,Assumptions!$B$17,0))</f>
        <v>0</v>
      </c>
      <c r="J35" s="189" t="s">
        <v>611</v>
      </c>
      <c r="K35" s="189" t="s">
        <v>611</v>
      </c>
      <c r="L35" s="189" t="s">
        <v>616</v>
      </c>
      <c r="M35" s="194" t="s">
        <v>611</v>
      </c>
      <c r="N35" s="188" t="n">
        <v>730519</v>
      </c>
      <c r="O35" s="188" t="n">
        <v>730519</v>
      </c>
      <c r="P35" s="188" t="n">
        <v>243506</v>
      </c>
      <c r="Q35" s="188" t="n">
        <f aca="false">N35+O35+P35</f>
        <v>1704544</v>
      </c>
      <c r="R35" s="188" t="n">
        <f aca="false">Q35*0.05</f>
        <v>85227.2</v>
      </c>
      <c r="S35" s="187" t="n">
        <f aca="false">C35+D35-1</f>
        <v>78</v>
      </c>
      <c r="T35" s="191"/>
      <c r="W35" s="192" t="n">
        <f aca="false">C35+D35-1</f>
        <v>78</v>
      </c>
      <c r="X35" s="1" t="s">
        <v>612</v>
      </c>
    </row>
    <row r="36" customFormat="false" ht="15" hidden="false" customHeight="true" outlineLevel="0" collapsed="false">
      <c r="A36" s="187" t="s">
        <v>39</v>
      </c>
      <c r="B36" s="188" t="n">
        <v>18000000</v>
      </c>
      <c r="C36" s="189" t="n">
        <v>62</v>
      </c>
      <c r="D36" s="189" t="n">
        <v>19</v>
      </c>
      <c r="E36" s="189" t="n">
        <v>3</v>
      </c>
      <c r="F36" s="189" t="s">
        <v>611</v>
      </c>
      <c r="G36" s="189" t="s">
        <v>611</v>
      </c>
      <c r="H36" s="189" t="n">
        <v>0</v>
      </c>
      <c r="I36" s="190" t="n">
        <f aca="false">IF(H36=1,Assumptions!$B$16,IF(H36=2,Assumptions!$B$17,0))</f>
        <v>0</v>
      </c>
      <c r="J36" s="189" t="s">
        <v>611</v>
      </c>
      <c r="K36" s="189" t="s">
        <v>611</v>
      </c>
      <c r="L36" s="189" t="s">
        <v>616</v>
      </c>
      <c r="M36" s="194" t="s">
        <v>611</v>
      </c>
      <c r="N36" s="188" t="n">
        <v>876623</v>
      </c>
      <c r="O36" s="188" t="n">
        <v>876623</v>
      </c>
      <c r="P36" s="188" t="n">
        <v>292208</v>
      </c>
      <c r="Q36" s="188" t="n">
        <f aca="false">N36+O36+P36</f>
        <v>2045454</v>
      </c>
      <c r="R36" s="188" t="n">
        <f aca="false">Q36*0.05</f>
        <v>102272.7</v>
      </c>
      <c r="S36" s="187" t="n">
        <f aca="false">C36+D36-1</f>
        <v>80</v>
      </c>
      <c r="T36" s="191"/>
      <c r="W36" s="192" t="n">
        <f aca="false">C36+D36-1</f>
        <v>80</v>
      </c>
      <c r="X36" s="1" t="s">
        <v>612</v>
      </c>
    </row>
    <row r="37" customFormat="false" ht="15" hidden="false" customHeight="true" outlineLevel="0" collapsed="false">
      <c r="A37" s="187" t="s">
        <v>40</v>
      </c>
      <c r="B37" s="188" t="n">
        <v>15000000</v>
      </c>
      <c r="C37" s="189" t="n">
        <v>64</v>
      </c>
      <c r="D37" s="189" t="n">
        <v>19</v>
      </c>
      <c r="E37" s="189" t="n">
        <v>3</v>
      </c>
      <c r="F37" s="189" t="s">
        <v>611</v>
      </c>
      <c r="G37" s="189" t="s">
        <v>611</v>
      </c>
      <c r="H37" s="189" t="n">
        <v>0</v>
      </c>
      <c r="I37" s="190" t="n">
        <f aca="false">IF(H37=1,Assumptions!$B$16,IF(H37=2,Assumptions!$B$17,0))</f>
        <v>0</v>
      </c>
      <c r="J37" s="189" t="s">
        <v>611</v>
      </c>
      <c r="K37" s="189" t="s">
        <v>611</v>
      </c>
      <c r="L37" s="189" t="s">
        <v>616</v>
      </c>
      <c r="M37" s="194" t="s">
        <v>611</v>
      </c>
      <c r="N37" s="188" t="n">
        <v>730519</v>
      </c>
      <c r="O37" s="188" t="n">
        <v>730519</v>
      </c>
      <c r="P37" s="188" t="n">
        <v>243506</v>
      </c>
      <c r="Q37" s="188" t="n">
        <f aca="false">N37+O37+P37</f>
        <v>1704544</v>
      </c>
      <c r="R37" s="188" t="n">
        <f aca="false">Q37*0.05</f>
        <v>85227.2</v>
      </c>
      <c r="S37" s="187" t="n">
        <f aca="false">C37+D37-1</f>
        <v>82</v>
      </c>
      <c r="T37" s="191"/>
      <c r="W37" s="192" t="n">
        <f aca="false">C37+D37-1</f>
        <v>82</v>
      </c>
      <c r="X37" s="1" t="s">
        <v>612</v>
      </c>
    </row>
    <row r="38" customFormat="false" ht="15" hidden="false" customHeight="true" outlineLevel="0" collapsed="false">
      <c r="A38" s="187" t="s">
        <v>41</v>
      </c>
      <c r="B38" s="188" t="n">
        <v>15000000</v>
      </c>
      <c r="C38" s="189" t="n">
        <v>66</v>
      </c>
      <c r="D38" s="189" t="n">
        <v>19</v>
      </c>
      <c r="E38" s="189" t="n">
        <v>3</v>
      </c>
      <c r="F38" s="189" t="s">
        <v>611</v>
      </c>
      <c r="G38" s="189" t="s">
        <v>611</v>
      </c>
      <c r="H38" s="189" t="n">
        <v>0</v>
      </c>
      <c r="I38" s="190" t="n">
        <f aca="false">IF(H38=1,Assumptions!$B$16,IF(H38=2,Assumptions!$B$17,0))</f>
        <v>0</v>
      </c>
      <c r="J38" s="189" t="s">
        <v>611</v>
      </c>
      <c r="K38" s="189" t="s">
        <v>611</v>
      </c>
      <c r="L38" s="189" t="s">
        <v>616</v>
      </c>
      <c r="M38" s="194" t="s">
        <v>611</v>
      </c>
      <c r="N38" s="188" t="n">
        <v>730519</v>
      </c>
      <c r="O38" s="188" t="n">
        <v>730519</v>
      </c>
      <c r="P38" s="188" t="n">
        <v>243506</v>
      </c>
      <c r="Q38" s="188" t="n">
        <f aca="false">N38+O38+P38</f>
        <v>1704544</v>
      </c>
      <c r="R38" s="188" t="n">
        <f aca="false">Q38*0.05</f>
        <v>85227.2</v>
      </c>
      <c r="S38" s="187" t="n">
        <f aca="false">C38+D38-1</f>
        <v>84</v>
      </c>
      <c r="T38" s="191"/>
      <c r="W38" s="192" t="n">
        <f aca="false">C38+D38-1</f>
        <v>84</v>
      </c>
      <c r="X38" s="1" t="s">
        <v>612</v>
      </c>
    </row>
    <row r="39" customFormat="false" ht="15" hidden="false" customHeight="true" outlineLevel="0" collapsed="false">
      <c r="A39" s="187" t="s">
        <v>42</v>
      </c>
      <c r="B39" s="188" t="n">
        <v>18000000</v>
      </c>
      <c r="C39" s="189" t="n">
        <v>68</v>
      </c>
      <c r="D39" s="189" t="n">
        <v>19</v>
      </c>
      <c r="E39" s="189" t="n">
        <v>3</v>
      </c>
      <c r="F39" s="189" t="s">
        <v>611</v>
      </c>
      <c r="G39" s="189" t="s">
        <v>611</v>
      </c>
      <c r="H39" s="189" t="n">
        <v>0</v>
      </c>
      <c r="I39" s="190" t="n">
        <f aca="false">IF(H39=1,Assumptions!$B$16,IF(H39=2,Assumptions!$B$17,0))</f>
        <v>0</v>
      </c>
      <c r="J39" s="189" t="s">
        <v>611</v>
      </c>
      <c r="K39" s="189" t="s">
        <v>611</v>
      </c>
      <c r="L39" s="189" t="s">
        <v>616</v>
      </c>
      <c r="M39" s="194" t="s">
        <v>611</v>
      </c>
      <c r="N39" s="188" t="n">
        <v>876623</v>
      </c>
      <c r="O39" s="188" t="n">
        <v>876623</v>
      </c>
      <c r="P39" s="188" t="n">
        <v>292208</v>
      </c>
      <c r="Q39" s="188" t="n">
        <f aca="false">N39+O39+P39</f>
        <v>2045454</v>
      </c>
      <c r="R39" s="188" t="n">
        <f aca="false">Q39*0.05</f>
        <v>102272.7</v>
      </c>
      <c r="S39" s="187" t="n">
        <f aca="false">C39+D39-1</f>
        <v>86</v>
      </c>
      <c r="T39" s="191"/>
      <c r="W39" s="192" t="n">
        <f aca="false">C39+D39-1</f>
        <v>86</v>
      </c>
      <c r="X39" s="1" t="s">
        <v>612</v>
      </c>
    </row>
    <row r="40" customFormat="false" ht="15" hidden="false" customHeight="true" outlineLevel="0" collapsed="false">
      <c r="A40" s="187" t="s">
        <v>43</v>
      </c>
      <c r="B40" s="188" t="n">
        <v>15000000</v>
      </c>
      <c r="C40" s="189" t="n">
        <v>70</v>
      </c>
      <c r="D40" s="189" t="n">
        <v>19</v>
      </c>
      <c r="E40" s="189" t="n">
        <v>3</v>
      </c>
      <c r="F40" s="189" t="s">
        <v>612</v>
      </c>
      <c r="G40" s="189" t="s">
        <v>611</v>
      </c>
      <c r="H40" s="189" t="n">
        <v>2</v>
      </c>
      <c r="I40" s="190" t="n">
        <f aca="false">IF(H40=1,Assumptions!$B$16,IF(H40=2,Assumptions!$B$17,0))</f>
        <v>0.0325</v>
      </c>
      <c r="J40" s="189" t="s">
        <v>611</v>
      </c>
      <c r="K40" s="189" t="s">
        <v>611</v>
      </c>
      <c r="L40" s="189" t="s">
        <v>616</v>
      </c>
      <c r="M40" s="194" t="s">
        <v>612</v>
      </c>
      <c r="N40" s="188" t="n">
        <v>730519</v>
      </c>
      <c r="O40" s="188" t="n">
        <v>730519</v>
      </c>
      <c r="P40" s="188" t="n">
        <v>243506</v>
      </c>
      <c r="Q40" s="188" t="n">
        <f aca="false">N40+O40+P40</f>
        <v>1704544</v>
      </c>
      <c r="R40" s="188" t="n">
        <f aca="false">Q40*0.05</f>
        <v>85227.2</v>
      </c>
      <c r="S40" s="187" t="n">
        <f aca="false">C40+D40-1</f>
        <v>88</v>
      </c>
      <c r="T40" s="191" t="n">
        <f aca="false">Assumptions!$B$15</f>
        <v>0.015</v>
      </c>
      <c r="W40" s="192" t="n">
        <f aca="false">C40+D40-1</f>
        <v>88</v>
      </c>
      <c r="X40" s="1" t="s">
        <v>612</v>
      </c>
    </row>
    <row r="41" customFormat="false" ht="15" hidden="false" customHeight="true" outlineLevel="0" collapsed="false">
      <c r="A41" s="187" t="s">
        <v>44</v>
      </c>
      <c r="B41" s="188" t="n">
        <v>15000000</v>
      </c>
      <c r="C41" s="189" t="n">
        <v>72</v>
      </c>
      <c r="D41" s="189" t="n">
        <v>19</v>
      </c>
      <c r="E41" s="189" t="n">
        <v>3</v>
      </c>
      <c r="F41" s="189" t="s">
        <v>611</v>
      </c>
      <c r="G41" s="189" t="s">
        <v>611</v>
      </c>
      <c r="H41" s="189" t="n">
        <v>0</v>
      </c>
      <c r="I41" s="190" t="n">
        <f aca="false">IF(H41=1,Assumptions!$B$16,IF(H41=2,Assumptions!$B$17,0))</f>
        <v>0</v>
      </c>
      <c r="J41" s="189" t="s">
        <v>611</v>
      </c>
      <c r="K41" s="189" t="s">
        <v>611</v>
      </c>
      <c r="L41" s="189" t="s">
        <v>616</v>
      </c>
      <c r="M41" s="194" t="s">
        <v>611</v>
      </c>
      <c r="N41" s="188" t="n">
        <v>730519</v>
      </c>
      <c r="O41" s="188" t="n">
        <v>730519</v>
      </c>
      <c r="P41" s="188" t="n">
        <v>243506</v>
      </c>
      <c r="Q41" s="188" t="n">
        <f aca="false">N41+O41+P41</f>
        <v>1704544</v>
      </c>
      <c r="R41" s="188" t="n">
        <f aca="false">Q41*0.05</f>
        <v>85227.2</v>
      </c>
      <c r="S41" s="187" t="n">
        <f aca="false">C41+D41-1</f>
        <v>90</v>
      </c>
      <c r="T41" s="191"/>
      <c r="W41" s="192" t="n">
        <f aca="false">C41+D41-1</f>
        <v>90</v>
      </c>
      <c r="X41" s="1" t="s">
        <v>612</v>
      </c>
    </row>
    <row r="42" customFormat="false" ht="15" hidden="false" customHeight="true" outlineLevel="0" collapsed="false">
      <c r="A42" s="187" t="s">
        <v>45</v>
      </c>
      <c r="B42" s="188" t="n">
        <v>18000000</v>
      </c>
      <c r="C42" s="189" t="n">
        <v>74</v>
      </c>
      <c r="D42" s="189" t="n">
        <v>19</v>
      </c>
      <c r="E42" s="189" t="n">
        <v>3</v>
      </c>
      <c r="F42" s="189" t="s">
        <v>611</v>
      </c>
      <c r="G42" s="189" t="s">
        <v>611</v>
      </c>
      <c r="H42" s="189" t="n">
        <v>0</v>
      </c>
      <c r="I42" s="190" t="n">
        <f aca="false">IF(H42=1,Assumptions!$B$16,IF(H42=2,Assumptions!$B$17,0))</f>
        <v>0</v>
      </c>
      <c r="J42" s="189" t="s">
        <v>611</v>
      </c>
      <c r="K42" s="189" t="s">
        <v>611</v>
      </c>
      <c r="L42" s="189" t="s">
        <v>616</v>
      </c>
      <c r="M42" s="194" t="s">
        <v>611</v>
      </c>
      <c r="N42" s="188" t="n">
        <v>876623</v>
      </c>
      <c r="O42" s="188" t="n">
        <v>876623</v>
      </c>
      <c r="P42" s="188" t="n">
        <v>292208</v>
      </c>
      <c r="Q42" s="188" t="n">
        <f aca="false">N42+O42+P42</f>
        <v>2045454</v>
      </c>
      <c r="R42" s="188" t="n">
        <f aca="false">Q42*0.05</f>
        <v>102272.7</v>
      </c>
      <c r="S42" s="187" t="n">
        <f aca="false">C42+D42-1</f>
        <v>92</v>
      </c>
      <c r="T42" s="191"/>
      <c r="W42" s="192" t="n">
        <f aca="false">C42+D42-1</f>
        <v>92</v>
      </c>
      <c r="X42" s="1" t="s">
        <v>612</v>
      </c>
    </row>
    <row r="43" customFormat="false" ht="15" hidden="false" customHeight="true" outlineLevel="0" collapsed="false">
      <c r="A43" s="187" t="s">
        <v>46</v>
      </c>
      <c r="B43" s="188" t="n">
        <v>15000000</v>
      </c>
      <c r="C43" s="189" t="n">
        <v>76</v>
      </c>
      <c r="D43" s="189" t="n">
        <v>19</v>
      </c>
      <c r="E43" s="189" t="n">
        <v>3</v>
      </c>
      <c r="F43" s="189" t="s">
        <v>611</v>
      </c>
      <c r="G43" s="189" t="s">
        <v>611</v>
      </c>
      <c r="H43" s="189" t="n">
        <v>0</v>
      </c>
      <c r="I43" s="190" t="n">
        <f aca="false">IF(H43=1,Assumptions!$B$16,IF(H43=2,Assumptions!$B$17,0))</f>
        <v>0</v>
      </c>
      <c r="J43" s="189" t="s">
        <v>611</v>
      </c>
      <c r="K43" s="189" t="s">
        <v>611</v>
      </c>
      <c r="L43" s="189" t="s">
        <v>616</v>
      </c>
      <c r="M43" s="194" t="s">
        <v>611</v>
      </c>
      <c r="N43" s="188" t="n">
        <v>730519</v>
      </c>
      <c r="O43" s="188" t="n">
        <v>730519</v>
      </c>
      <c r="P43" s="188" t="n">
        <v>243506</v>
      </c>
      <c r="Q43" s="188" t="n">
        <f aca="false">N43+O43+P43</f>
        <v>1704544</v>
      </c>
      <c r="R43" s="188" t="n">
        <f aca="false">Q43*0.05</f>
        <v>85227.2</v>
      </c>
      <c r="S43" s="187" t="n">
        <f aca="false">C43+D43-1</f>
        <v>94</v>
      </c>
      <c r="T43" s="191"/>
      <c r="W43" s="192" t="n">
        <f aca="false">C43+D43-1</f>
        <v>94</v>
      </c>
      <c r="X43" s="1" t="s">
        <v>612</v>
      </c>
    </row>
    <row r="44" customFormat="false" ht="15" hidden="false" customHeight="true" outlineLevel="0" collapsed="false">
      <c r="A44" s="187" t="s">
        <v>47</v>
      </c>
      <c r="B44" s="188" t="n">
        <v>15000000</v>
      </c>
      <c r="C44" s="189" t="n">
        <v>78</v>
      </c>
      <c r="D44" s="189" t="n">
        <v>19</v>
      </c>
      <c r="E44" s="189" t="n">
        <v>3</v>
      </c>
      <c r="F44" s="189" t="s">
        <v>611</v>
      </c>
      <c r="G44" s="189" t="s">
        <v>611</v>
      </c>
      <c r="H44" s="189" t="n">
        <v>0</v>
      </c>
      <c r="I44" s="190" t="n">
        <f aca="false">IF(H44=1,Assumptions!$B$16,IF(H44=2,Assumptions!$B$17,0))</f>
        <v>0</v>
      </c>
      <c r="J44" s="189" t="s">
        <v>611</v>
      </c>
      <c r="K44" s="189" t="s">
        <v>611</v>
      </c>
      <c r="L44" s="189" t="s">
        <v>616</v>
      </c>
      <c r="M44" s="194" t="s">
        <v>611</v>
      </c>
      <c r="N44" s="188" t="n">
        <v>730519</v>
      </c>
      <c r="O44" s="188" t="n">
        <v>730519</v>
      </c>
      <c r="P44" s="188" t="n">
        <v>243506</v>
      </c>
      <c r="Q44" s="188" t="n">
        <f aca="false">N44+O44+P44</f>
        <v>1704544</v>
      </c>
      <c r="R44" s="188" t="n">
        <f aca="false">Q44*0.05</f>
        <v>85227.2</v>
      </c>
      <c r="S44" s="187" t="n">
        <f aca="false">C44+D44-1</f>
        <v>96</v>
      </c>
      <c r="T44" s="191"/>
      <c r="W44" s="192" t="n">
        <f aca="false">C44+D44-1</f>
        <v>96</v>
      </c>
      <c r="X44" s="1" t="s">
        <v>612</v>
      </c>
    </row>
    <row r="45" customFormat="false" ht="15" hidden="false" customHeight="true" outlineLevel="0" collapsed="false">
      <c r="A45" s="187" t="s">
        <v>48</v>
      </c>
      <c r="B45" s="188" t="n">
        <v>18000000</v>
      </c>
      <c r="C45" s="189" t="n">
        <v>80</v>
      </c>
      <c r="D45" s="189" t="n">
        <v>19</v>
      </c>
      <c r="E45" s="189" t="n">
        <v>3</v>
      </c>
      <c r="F45" s="189" t="s">
        <v>611</v>
      </c>
      <c r="G45" s="189" t="s">
        <v>611</v>
      </c>
      <c r="H45" s="189" t="n">
        <v>0</v>
      </c>
      <c r="I45" s="190" t="n">
        <f aca="false">IF(H45=1,Assumptions!$B$16,IF(H45=2,Assumptions!$B$17,0))</f>
        <v>0</v>
      </c>
      <c r="J45" s="189" t="s">
        <v>611</v>
      </c>
      <c r="K45" s="189" t="s">
        <v>611</v>
      </c>
      <c r="L45" s="189" t="s">
        <v>616</v>
      </c>
      <c r="M45" s="194" t="s">
        <v>611</v>
      </c>
      <c r="N45" s="188" t="n">
        <v>876623</v>
      </c>
      <c r="O45" s="188" t="n">
        <v>876623</v>
      </c>
      <c r="P45" s="188" t="n">
        <v>292208</v>
      </c>
      <c r="Q45" s="188" t="n">
        <f aca="false">N45+O45+P45</f>
        <v>2045454</v>
      </c>
      <c r="R45" s="188" t="n">
        <f aca="false">Q45*0.05</f>
        <v>102272.7</v>
      </c>
      <c r="S45" s="187" t="n">
        <f aca="false">C45+D45-1</f>
        <v>98</v>
      </c>
      <c r="T45" s="191"/>
      <c r="W45" s="192" t="n">
        <f aca="false">C45+D45-1</f>
        <v>98</v>
      </c>
      <c r="X45" s="1" t="s">
        <v>612</v>
      </c>
    </row>
    <row r="46" customFormat="false" ht="15" hidden="false" customHeight="true" outlineLevel="0" collapsed="false">
      <c r="A46" s="187" t="s">
        <v>49</v>
      </c>
      <c r="B46" s="188" t="n">
        <v>15000000</v>
      </c>
      <c r="C46" s="189" t="n">
        <v>82</v>
      </c>
      <c r="D46" s="189" t="n">
        <v>19</v>
      </c>
      <c r="E46" s="189" t="n">
        <v>3</v>
      </c>
      <c r="F46" s="189" t="s">
        <v>612</v>
      </c>
      <c r="G46" s="189" t="s">
        <v>611</v>
      </c>
      <c r="H46" s="189" t="n">
        <v>2</v>
      </c>
      <c r="I46" s="190" t="n">
        <f aca="false">IF(H46=1,Assumptions!$B$16,IF(H46=2,Assumptions!$B$17,0))</f>
        <v>0.0325</v>
      </c>
      <c r="J46" s="189" t="s">
        <v>611</v>
      </c>
      <c r="K46" s="189" t="s">
        <v>611</v>
      </c>
      <c r="L46" s="189" t="s">
        <v>616</v>
      </c>
      <c r="M46" s="194" t="s">
        <v>612</v>
      </c>
      <c r="N46" s="188" t="n">
        <v>730519</v>
      </c>
      <c r="O46" s="188" t="n">
        <v>730519</v>
      </c>
      <c r="P46" s="188" t="n">
        <v>243506</v>
      </c>
      <c r="Q46" s="188" t="n">
        <f aca="false">N46+O46+P46</f>
        <v>1704544</v>
      </c>
      <c r="R46" s="188" t="n">
        <f aca="false">Q46*0.05</f>
        <v>85227.2</v>
      </c>
      <c r="S46" s="187" t="n">
        <f aca="false">C46+D46-1</f>
        <v>100</v>
      </c>
      <c r="T46" s="191" t="n">
        <f aca="false">Assumptions!$B$15</f>
        <v>0.015</v>
      </c>
      <c r="X46" s="1" t="s">
        <v>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619</v>
      </c>
    </row>
    <row r="2" customFormat="false" ht="15" hidden="false" customHeight="true" outlineLevel="0" collapsed="false">
      <c r="A2" s="195" t="s">
        <v>620</v>
      </c>
    </row>
    <row r="4" customFormat="false" ht="15" hidden="false" customHeight="true" outlineLevel="0" collapsed="false">
      <c r="E4" s="19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97" t="s">
        <v>589</v>
      </c>
      <c r="B5" s="110" t="s">
        <v>590</v>
      </c>
      <c r="C5" s="110" t="s">
        <v>621</v>
      </c>
      <c r="D5" s="110" t="s">
        <v>622</v>
      </c>
      <c r="E5" s="110" t="s">
        <v>623</v>
      </c>
      <c r="F5" s="110" t="s">
        <v>624</v>
      </c>
      <c r="G5" s="198" t="n">
        <f aca="false">EDATE(Model!$E$2,G4-1)</f>
        <v>46113</v>
      </c>
      <c r="H5" s="198" t="n">
        <f aca="false">EDATE(Model!$E$2,H4-1)</f>
        <v>46143</v>
      </c>
      <c r="I5" s="198" t="n">
        <f aca="false">EDATE(Model!$E$2,I4-1)</f>
        <v>46174</v>
      </c>
      <c r="J5" s="198" t="n">
        <f aca="false">EDATE(Model!$E$2,J4-1)</f>
        <v>46204</v>
      </c>
      <c r="K5" s="198" t="n">
        <f aca="false">EDATE(Model!$E$2,K4-1)</f>
        <v>46235</v>
      </c>
      <c r="L5" s="198" t="n">
        <f aca="false">EDATE(Model!$E$2,L4-1)</f>
        <v>46266</v>
      </c>
      <c r="M5" s="198" t="n">
        <f aca="false">EDATE(Model!$E$2,M4-1)</f>
        <v>46296</v>
      </c>
      <c r="N5" s="198" t="n">
        <f aca="false">EDATE(Model!$E$2,N4-1)</f>
        <v>46327</v>
      </c>
      <c r="O5" s="198" t="n">
        <f aca="false">EDATE(Model!$E$2,O4-1)</f>
        <v>46357</v>
      </c>
      <c r="P5" s="198" t="n">
        <f aca="false">EDATE(Model!$E$2,P4-1)</f>
        <v>46388</v>
      </c>
      <c r="Q5" s="198" t="n">
        <f aca="false">EDATE(Model!$E$2,Q4-1)</f>
        <v>46419</v>
      </c>
      <c r="R5" s="198" t="n">
        <f aca="false">EDATE(Model!$E$2,R4-1)</f>
        <v>46447</v>
      </c>
      <c r="S5" s="198" t="n">
        <f aca="false">EDATE(Model!$E$2,S4-1)</f>
        <v>46478</v>
      </c>
      <c r="T5" s="198" t="n">
        <f aca="false">EDATE(Model!$E$2,T4-1)</f>
        <v>46508</v>
      </c>
      <c r="U5" s="198" t="n">
        <f aca="false">EDATE(Model!$E$2,U4-1)</f>
        <v>46539</v>
      </c>
      <c r="V5" s="198" t="n">
        <f aca="false">EDATE(Model!$E$2,V4-1)</f>
        <v>46569</v>
      </c>
      <c r="W5" s="198" t="n">
        <f aca="false">EDATE(Model!$E$2,W4-1)</f>
        <v>46600</v>
      </c>
      <c r="X5" s="198" t="n">
        <f aca="false">EDATE(Model!$E$2,X4-1)</f>
        <v>46631</v>
      </c>
      <c r="Y5" s="198" t="n">
        <f aca="false">EDATE(Model!$E$2,Y4-1)</f>
        <v>46661</v>
      </c>
      <c r="Z5" s="198" t="n">
        <f aca="false">EDATE(Model!$E$2,Z4-1)</f>
        <v>46692</v>
      </c>
      <c r="AA5" s="198" t="n">
        <f aca="false">EDATE(Model!$E$2,AA4-1)</f>
        <v>46722</v>
      </c>
      <c r="AB5" s="198" t="n">
        <f aca="false">EDATE(Model!$E$2,AB4-1)</f>
        <v>46753</v>
      </c>
      <c r="AC5" s="198" t="n">
        <f aca="false">EDATE(Model!$E$2,AC4-1)</f>
        <v>46784</v>
      </c>
      <c r="AD5" s="198" t="n">
        <f aca="false">EDATE(Model!$E$2,AD4-1)</f>
        <v>46813</v>
      </c>
      <c r="AE5" s="198" t="n">
        <f aca="false">EDATE(Model!$E$2,AE4-1)</f>
        <v>46844</v>
      </c>
      <c r="AF5" s="198" t="n">
        <f aca="false">EDATE(Model!$E$2,AF4-1)</f>
        <v>46874</v>
      </c>
      <c r="AG5" s="198" t="n">
        <f aca="false">EDATE(Model!$E$2,AG4-1)</f>
        <v>46905</v>
      </c>
      <c r="AH5" s="198" t="n">
        <f aca="false">EDATE(Model!$E$2,AH4-1)</f>
        <v>46935</v>
      </c>
      <c r="AI5" s="198" t="n">
        <f aca="false">EDATE(Model!$E$2,AI4-1)</f>
        <v>46966</v>
      </c>
      <c r="AJ5" s="198" t="n">
        <f aca="false">EDATE(Model!$E$2,AJ4-1)</f>
        <v>46997</v>
      </c>
      <c r="AK5" s="198" t="n">
        <f aca="false">EDATE(Model!$E$2,AK4-1)</f>
        <v>47027</v>
      </c>
      <c r="AL5" s="198" t="n">
        <f aca="false">EDATE(Model!$E$2,AL4-1)</f>
        <v>47058</v>
      </c>
      <c r="AM5" s="198" t="n">
        <f aca="false">EDATE(Model!$E$2,AM4-1)</f>
        <v>47088</v>
      </c>
      <c r="AN5" s="198" t="n">
        <f aca="false">EDATE(Model!$E$2,AN4-1)</f>
        <v>47119</v>
      </c>
      <c r="AO5" s="198" t="n">
        <f aca="false">EDATE(Model!$E$2,AO4-1)</f>
        <v>47150</v>
      </c>
      <c r="AP5" s="198" t="n">
        <f aca="false">EDATE(Model!$E$2,AP4-1)</f>
        <v>47178</v>
      </c>
      <c r="AQ5" s="198" t="n">
        <f aca="false">EDATE(Model!$E$2,AQ4-1)</f>
        <v>47209</v>
      </c>
      <c r="AR5" s="198" t="n">
        <f aca="false">EDATE(Model!$E$2,AR4-1)</f>
        <v>47239</v>
      </c>
      <c r="AS5" s="198" t="n">
        <f aca="false">EDATE(Model!$E$2,AS4-1)</f>
        <v>47270</v>
      </c>
      <c r="AT5" s="198" t="n">
        <f aca="false">EDATE(Model!$E$2,AT4-1)</f>
        <v>47300</v>
      </c>
      <c r="AU5" s="198" t="n">
        <f aca="false">EDATE(Model!$E$2,AU4-1)</f>
        <v>47331</v>
      </c>
      <c r="AV5" s="198" t="n">
        <f aca="false">EDATE(Model!$E$2,AV4-1)</f>
        <v>47362</v>
      </c>
      <c r="AW5" s="198" t="n">
        <f aca="false">EDATE(Model!$E$2,AW4-1)</f>
        <v>47392</v>
      </c>
      <c r="AX5" s="198" t="n">
        <f aca="false">EDATE(Model!$E$2,AX4-1)</f>
        <v>47423</v>
      </c>
      <c r="AY5" s="198" t="n">
        <f aca="false">EDATE(Model!$E$2,AY4-1)</f>
        <v>47453</v>
      </c>
      <c r="AZ5" s="198" t="n">
        <f aca="false">EDATE(Model!$E$2,AZ4-1)</f>
        <v>47484</v>
      </c>
      <c r="BA5" s="198" t="n">
        <f aca="false">EDATE(Model!$E$2,BA4-1)</f>
        <v>47515</v>
      </c>
      <c r="BB5" s="198" t="n">
        <f aca="false">EDATE(Model!$E$2,BB4-1)</f>
        <v>47543</v>
      </c>
      <c r="BC5" s="198" t="n">
        <f aca="false">EDATE(Model!$E$2,BC4-1)</f>
        <v>47574</v>
      </c>
      <c r="BD5" s="198" t="n">
        <f aca="false">EDATE(Model!$E$2,BD4-1)</f>
        <v>47604</v>
      </c>
      <c r="BE5" s="198" t="n">
        <f aca="false">EDATE(Model!$E$2,BE4-1)</f>
        <v>47635</v>
      </c>
      <c r="BF5" s="198" t="n">
        <f aca="false">EDATE(Model!$E$2,BF4-1)</f>
        <v>47665</v>
      </c>
      <c r="BG5" s="198" t="n">
        <f aca="false">EDATE(Model!$E$2,BG4-1)</f>
        <v>47696</v>
      </c>
      <c r="BH5" s="198" t="n">
        <f aca="false">EDATE(Model!$E$2,BH4-1)</f>
        <v>47727</v>
      </c>
      <c r="BI5" s="198" t="n">
        <f aca="false">EDATE(Model!$E$2,BI4-1)</f>
        <v>47757</v>
      </c>
      <c r="BJ5" s="198" t="n">
        <f aca="false">EDATE(Model!$E$2,BJ4-1)</f>
        <v>47788</v>
      </c>
      <c r="BK5" s="198" t="n">
        <f aca="false">EDATE(Model!$E$2,BK4-1)</f>
        <v>47818</v>
      </c>
      <c r="BL5" s="198" t="n">
        <f aca="false">EDATE(Model!$E$2,BL4-1)</f>
        <v>47849</v>
      </c>
      <c r="BM5" s="198" t="n">
        <f aca="false">EDATE(Model!$E$2,BM4-1)</f>
        <v>47880</v>
      </c>
      <c r="BN5" s="198" t="n">
        <f aca="false">EDATE(Model!$E$2,BN4-1)</f>
        <v>47908</v>
      </c>
      <c r="BO5" s="198" t="n">
        <f aca="false">EDATE(Model!$E$2,BO4-1)</f>
        <v>47939</v>
      </c>
      <c r="BP5" s="198" t="n">
        <f aca="false">EDATE(Model!$E$2,BP4-1)</f>
        <v>47969</v>
      </c>
      <c r="BQ5" s="198" t="n">
        <f aca="false">EDATE(Model!$E$2,BQ4-1)</f>
        <v>48000</v>
      </c>
      <c r="BR5" s="198" t="n">
        <f aca="false">EDATE(Model!$E$2,BR4-1)</f>
        <v>48030</v>
      </c>
      <c r="BS5" s="198" t="n">
        <f aca="false">EDATE(Model!$E$2,BS4-1)</f>
        <v>48061</v>
      </c>
      <c r="BT5" s="198" t="n">
        <f aca="false">EDATE(Model!$E$2,BT4-1)</f>
        <v>48092</v>
      </c>
      <c r="BU5" s="198" t="n">
        <f aca="false">EDATE(Model!$E$2,BU4-1)</f>
        <v>48122</v>
      </c>
      <c r="BV5" s="198" t="n">
        <f aca="false">EDATE(Model!$E$2,BV4-1)</f>
        <v>48153</v>
      </c>
      <c r="BW5" s="198" t="n">
        <f aca="false">EDATE(Model!$E$2,BW4-1)</f>
        <v>48183</v>
      </c>
      <c r="BX5" s="198" t="n">
        <f aca="false">EDATE(Model!$E$2,BX4-1)</f>
        <v>48214</v>
      </c>
      <c r="BY5" s="198" t="n">
        <f aca="false">EDATE(Model!$E$2,BY4-1)</f>
        <v>48245</v>
      </c>
      <c r="BZ5" s="198" t="n">
        <f aca="false">EDATE(Model!$E$2,BZ4-1)</f>
        <v>48274</v>
      </c>
      <c r="CA5" s="198" t="n">
        <f aca="false">EDATE(Model!$E$2,CA4-1)</f>
        <v>48305</v>
      </c>
      <c r="CB5" s="198" t="n">
        <f aca="false">EDATE(Model!$E$2,CB4-1)</f>
        <v>48335</v>
      </c>
      <c r="CC5" s="198" t="n">
        <f aca="false">EDATE(Model!$E$2,CC4-1)</f>
        <v>48366</v>
      </c>
      <c r="CD5" s="198" t="n">
        <f aca="false">EDATE(Model!$E$2,CD4-1)</f>
        <v>48396</v>
      </c>
      <c r="CE5" s="198" t="n">
        <f aca="false">EDATE(Model!$E$2,CE4-1)</f>
        <v>48427</v>
      </c>
      <c r="CF5" s="198" t="n">
        <f aca="false">EDATE(Model!$E$2,CF4-1)</f>
        <v>48458</v>
      </c>
      <c r="CG5" s="198" t="n">
        <f aca="false">EDATE(Model!$E$2,CG4-1)</f>
        <v>48488</v>
      </c>
      <c r="CH5" s="198" t="n">
        <f aca="false">EDATE(Model!$E$2,CH4-1)</f>
        <v>48519</v>
      </c>
      <c r="CI5" s="198" t="n">
        <f aca="false">EDATE(Model!$E$2,CI4-1)</f>
        <v>48549</v>
      </c>
      <c r="CJ5" s="198" t="n">
        <f aca="false">EDATE(Model!$E$2,CJ4-1)</f>
        <v>48580</v>
      </c>
      <c r="CK5" s="198" t="n">
        <f aca="false">EDATE(Model!$E$2,CK4-1)</f>
        <v>48611</v>
      </c>
      <c r="CL5" s="198" t="n">
        <f aca="false">EDATE(Model!$E$2,CL4-1)</f>
        <v>48639</v>
      </c>
      <c r="CM5" s="198" t="n">
        <f aca="false">EDATE(Model!$E$2,CM4-1)</f>
        <v>48670</v>
      </c>
      <c r="CN5" s="198" t="n">
        <f aca="false">EDATE(Model!$E$2,CN4-1)</f>
        <v>48700</v>
      </c>
      <c r="CO5" s="198" t="n">
        <f aca="false">EDATE(Model!$E$2,CO4-1)</f>
        <v>48731</v>
      </c>
      <c r="CP5" s="198" t="n">
        <f aca="false">EDATE(Model!$E$2,CP4-1)</f>
        <v>48761</v>
      </c>
      <c r="CQ5" s="198" t="n">
        <f aca="false">EDATE(Model!$E$2,CQ4-1)</f>
        <v>48792</v>
      </c>
      <c r="CR5" s="198" t="n">
        <f aca="false">EDATE(Model!$E$2,CR4-1)</f>
        <v>48823</v>
      </c>
      <c r="CS5" s="198" t="n">
        <f aca="false">EDATE(Model!$E$2,CS4-1)</f>
        <v>48853</v>
      </c>
      <c r="CT5" s="198" t="n">
        <f aca="false">EDATE(Model!$E$2,CT4-1)</f>
        <v>48884</v>
      </c>
      <c r="CU5" s="198" t="n">
        <f aca="false">EDATE(Model!$E$2,CU4-1)</f>
        <v>48914</v>
      </c>
      <c r="CV5" s="198" t="n">
        <f aca="false">EDATE(Model!$E$2,CV4-1)</f>
        <v>48945</v>
      </c>
      <c r="CW5" s="198" t="n">
        <f aca="false">EDATE(Model!$E$2,CW4-1)</f>
        <v>48976</v>
      </c>
      <c r="CX5" s="198" t="n">
        <f aca="false">EDATE(Model!$E$2,CX4-1)</f>
        <v>49004</v>
      </c>
      <c r="CY5" s="198" t="n">
        <f aca="false">EDATE(Model!$E$2,CY4-1)</f>
        <v>49035</v>
      </c>
      <c r="CZ5" s="198" t="n">
        <f aca="false">EDATE(Model!$E$2,CZ4-1)</f>
        <v>49065</v>
      </c>
      <c r="DA5" s="198" t="n">
        <f aca="false">EDATE(Model!$E$2,DA4-1)</f>
        <v>49096</v>
      </c>
      <c r="DB5" s="198" t="n">
        <f aca="false">EDATE(Model!$E$2,DB4-1)</f>
        <v>49126</v>
      </c>
    </row>
    <row r="6" customFormat="false" ht="15" hidden="false" customHeight="true" outlineLevel="0" collapsed="false">
      <c r="A6" s="199" t="s">
        <v>625</v>
      </c>
      <c r="B6" s="200"/>
      <c r="C6" s="200"/>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0"/>
      <c r="BY6" s="200"/>
      <c r="BZ6" s="200"/>
      <c r="CA6" s="200"/>
      <c r="CB6" s="200"/>
      <c r="CC6" s="200"/>
      <c r="CD6" s="200"/>
      <c r="CE6" s="200"/>
      <c r="CF6" s="200"/>
      <c r="CG6" s="200"/>
      <c r="CH6" s="200"/>
      <c r="CI6" s="200"/>
      <c r="CJ6" s="200"/>
      <c r="CK6" s="200"/>
      <c r="CL6" s="200"/>
      <c r="CM6" s="200"/>
      <c r="CN6" s="200"/>
      <c r="CO6" s="200"/>
      <c r="CP6" s="200"/>
      <c r="CQ6" s="200"/>
      <c r="CR6" s="200"/>
      <c r="CS6" s="200"/>
      <c r="CT6" s="200"/>
      <c r="CU6" s="200"/>
      <c r="CV6" s="200"/>
      <c r="CW6" s="200"/>
      <c r="CX6" s="200"/>
      <c r="CY6" s="200"/>
      <c r="CZ6" s="200"/>
      <c r="DA6" s="200"/>
      <c r="DB6" s="200"/>
    </row>
    <row r="7" customFormat="false" ht="15" hidden="false" customHeight="true" outlineLevel="0" collapsed="false">
      <c r="A7" s="123" t="s">
        <v>7</v>
      </c>
      <c r="B7" s="201" t="n">
        <f aca="false">Projects!$B$2</f>
        <v>7126075</v>
      </c>
      <c r="C7" s="202" t="n">
        <f aca="false">EDATE(Model!$E$2,Projects!$C$2-1)</f>
        <v>46113</v>
      </c>
      <c r="D7" s="202" t="n">
        <f aca="false">EDATE(Model!$E$2,Projects!$C$2+Projects!$D$2-2)</f>
        <v>46327</v>
      </c>
      <c r="E7" s="203" t="n">
        <f aca="false">Projects!$D$2</f>
        <v>8</v>
      </c>
      <c r="F7" s="201" t="n">
        <f aca="false">SUM(G7:DB7)</f>
        <v>6368332.43</v>
      </c>
      <c r="G7" s="204" t="n">
        <f aca="false">IF(Model!E13=0,"",Model!E13)</f>
        <v>704050.62</v>
      </c>
      <c r="H7" s="204" t="n">
        <f aca="false">IF(Model!F13=0,"",Model!F13)</f>
        <v>711605.75</v>
      </c>
      <c r="I7" s="204" t="n">
        <f aca="false">IF(Model!G13=0,"",Model!G13)</f>
        <v>887472.42</v>
      </c>
      <c r="J7" s="204" t="n">
        <f aca="false">IF(Model!H13=0,"",Model!H13)</f>
        <v>1089049.37</v>
      </c>
      <c r="K7" s="204" t="n">
        <f aca="false">IF(Model!I13=0,"",Model!I13)</f>
        <v>687821.32</v>
      </c>
      <c r="L7" s="204" t="n">
        <f aca="false">IF(Model!J13=0,"",Model!J13)</f>
        <v>635529.47</v>
      </c>
      <c r="M7" s="204" t="n">
        <f aca="false">IF(Model!K13=0,"",Model!K13)</f>
        <v>1090625.42</v>
      </c>
      <c r="N7" s="204" t="n">
        <f aca="false">IF(Model!L13=0,"",Model!L13)</f>
        <v>505960.25</v>
      </c>
      <c r="O7" s="204" t="n">
        <f aca="false">IF(Model!M13=0,"",Model!M13)</f>
        <v>56217.81</v>
      </c>
      <c r="P7" s="204" t="str">
        <f aca="false">IF(Model!N13=0,"",Model!N13)</f>
        <v/>
      </c>
      <c r="Q7" s="204" t="str">
        <f aca="false">IF(Model!O13=0,"",Model!O13)</f>
        <v/>
      </c>
      <c r="R7" s="204" t="str">
        <f aca="false">IF(Model!P13=0,"",Model!P13)</f>
        <v/>
      </c>
      <c r="S7" s="204" t="str">
        <f aca="false">IF(Model!Q13=0,"",Model!Q13)</f>
        <v/>
      </c>
      <c r="T7" s="204" t="str">
        <f aca="false">IF(Model!R13=0,"",Model!R13)</f>
        <v/>
      </c>
      <c r="U7" s="204" t="str">
        <f aca="false">IF(Model!S13=0,"",Model!S13)</f>
        <v/>
      </c>
      <c r="V7" s="204" t="str">
        <f aca="false">IF(Model!T13=0,"",Model!T13)</f>
        <v/>
      </c>
      <c r="W7" s="204" t="str">
        <f aca="false">IF(Model!U13=0,"",Model!U13)</f>
        <v/>
      </c>
      <c r="X7" s="204" t="str">
        <f aca="false">IF(Model!V13=0,"",Model!V13)</f>
        <v/>
      </c>
      <c r="Y7" s="204" t="str">
        <f aca="false">IF(Model!W13=0,"",Model!W13)</f>
        <v/>
      </c>
      <c r="Z7" s="204" t="str">
        <f aca="false">IF(Model!X13=0,"",Model!X13)</f>
        <v/>
      </c>
      <c r="AA7" s="204" t="str">
        <f aca="false">IF(Model!Y13=0,"",Model!Y13)</f>
        <v/>
      </c>
      <c r="AB7" s="204" t="str">
        <f aca="false">IF(Model!Z13=0,"",Model!Z13)</f>
        <v/>
      </c>
      <c r="AC7" s="204" t="str">
        <f aca="false">IF(Model!AA13=0,"",Model!AA13)</f>
        <v/>
      </c>
      <c r="AD7" s="204" t="str">
        <f aca="false">IF(Model!AB13=0,"",Model!AB13)</f>
        <v/>
      </c>
      <c r="AE7" s="204" t="str">
        <f aca="false">IF(Model!AC13=0,"",Model!AC13)</f>
        <v/>
      </c>
      <c r="AF7" s="204" t="str">
        <f aca="false">IF(Model!AD13=0,"",Model!AD13)</f>
        <v/>
      </c>
      <c r="AG7" s="204" t="str">
        <f aca="false">IF(Model!AE13=0,"",Model!AE13)</f>
        <v/>
      </c>
      <c r="AH7" s="204" t="str">
        <f aca="false">IF(Model!AF13=0,"",Model!AF13)</f>
        <v/>
      </c>
      <c r="AI7" s="204" t="str">
        <f aca="false">IF(Model!AG13=0,"",Model!AG13)</f>
        <v/>
      </c>
      <c r="AJ7" s="204" t="str">
        <f aca="false">IF(Model!AH13=0,"",Model!AH13)</f>
        <v/>
      </c>
      <c r="AK7" s="204" t="str">
        <f aca="false">IF(Model!AI13=0,"",Model!AI13)</f>
        <v/>
      </c>
      <c r="AL7" s="204" t="str">
        <f aca="false">IF(Model!AJ13=0,"",Model!AJ13)</f>
        <v/>
      </c>
      <c r="AM7" s="204" t="str">
        <f aca="false">IF(Model!AK13=0,"",Model!AK13)</f>
        <v/>
      </c>
      <c r="AN7" s="204" t="str">
        <f aca="false">IF(Model!AL13=0,"",Model!AL13)</f>
        <v/>
      </c>
      <c r="AO7" s="204" t="str">
        <f aca="false">IF(Model!AM13=0,"",Model!AM13)</f>
        <v/>
      </c>
      <c r="AP7" s="204" t="str">
        <f aca="false">IF(Model!AN13=0,"",Model!AN13)</f>
        <v/>
      </c>
      <c r="AQ7" s="204" t="str">
        <f aca="false">IF(Model!AO13=0,"",Model!AO13)</f>
        <v/>
      </c>
      <c r="AR7" s="204" t="str">
        <f aca="false">IF(Model!AP13=0,"",Model!AP13)</f>
        <v/>
      </c>
      <c r="AS7" s="204" t="str">
        <f aca="false">IF(Model!AQ13=0,"",Model!AQ13)</f>
        <v/>
      </c>
      <c r="AT7" s="204" t="str">
        <f aca="false">IF(Model!AR13=0,"",Model!AR13)</f>
        <v/>
      </c>
      <c r="AU7" s="204" t="str">
        <f aca="false">IF(Model!AS13=0,"",Model!AS13)</f>
        <v/>
      </c>
      <c r="AV7" s="204" t="str">
        <f aca="false">IF(Model!AT13=0,"",Model!AT13)</f>
        <v/>
      </c>
      <c r="AW7" s="204" t="str">
        <f aca="false">IF(Model!AU13=0,"",Model!AU13)</f>
        <v/>
      </c>
      <c r="AX7" s="204" t="str">
        <f aca="false">IF(Model!AV13=0,"",Model!AV13)</f>
        <v/>
      </c>
      <c r="AY7" s="204" t="str">
        <f aca="false">IF(Model!AW13=0,"",Model!AW13)</f>
        <v/>
      </c>
      <c r="AZ7" s="204" t="str">
        <f aca="false">IF(Model!AX13=0,"",Model!AX13)</f>
        <v/>
      </c>
      <c r="BA7" s="204" t="str">
        <f aca="false">IF(Model!AY13=0,"",Model!AY13)</f>
        <v/>
      </c>
      <c r="BB7" s="204" t="str">
        <f aca="false">IF(Model!AZ13=0,"",Model!AZ13)</f>
        <v/>
      </c>
      <c r="BC7" s="204" t="str">
        <f aca="false">IF(Model!BA13=0,"",Model!BA13)</f>
        <v/>
      </c>
      <c r="BD7" s="204" t="str">
        <f aca="false">IF(Model!BB13=0,"",Model!BB13)</f>
        <v/>
      </c>
      <c r="BE7" s="204" t="str">
        <f aca="false">IF(Model!BC13=0,"",Model!BC13)</f>
        <v/>
      </c>
      <c r="BF7" s="204" t="str">
        <f aca="false">IF(Model!BD13=0,"",Model!BD13)</f>
        <v/>
      </c>
      <c r="BG7" s="204" t="str">
        <f aca="false">IF(Model!BE13=0,"",Model!BE13)</f>
        <v/>
      </c>
      <c r="BH7" s="204" t="str">
        <f aca="false">IF(Model!BF13=0,"",Model!BF13)</f>
        <v/>
      </c>
      <c r="BI7" s="204" t="str">
        <f aca="false">IF(Model!BG13=0,"",Model!BG13)</f>
        <v/>
      </c>
      <c r="BJ7" s="204" t="str">
        <f aca="false">IF(Model!BH13=0,"",Model!BH13)</f>
        <v/>
      </c>
      <c r="BK7" s="204" t="str">
        <f aca="false">IF(Model!BI13=0,"",Model!BI13)</f>
        <v/>
      </c>
      <c r="BL7" s="204" t="str">
        <f aca="false">IF(Model!BJ13=0,"",Model!BJ13)</f>
        <v/>
      </c>
      <c r="BM7" s="204" t="str">
        <f aca="false">IF(Model!BK13=0,"",Model!BK13)</f>
        <v/>
      </c>
      <c r="BN7" s="204" t="str">
        <f aca="false">IF(Model!BL13=0,"",Model!BL13)</f>
        <v/>
      </c>
      <c r="BO7" s="204" t="str">
        <f aca="false">IF(Model!BM13=0,"",Model!BM13)</f>
        <v/>
      </c>
      <c r="BP7" s="204" t="str">
        <f aca="false">IF(Model!BN13=0,"",Model!BN13)</f>
        <v/>
      </c>
      <c r="BQ7" s="204" t="str">
        <f aca="false">IF(Model!BO13=0,"",Model!BO13)</f>
        <v/>
      </c>
      <c r="BR7" s="204" t="str">
        <f aca="false">IF(Model!BP13=0,"",Model!BP13)</f>
        <v/>
      </c>
      <c r="BS7" s="204" t="str">
        <f aca="false">IF(Model!BQ13=0,"",Model!BQ13)</f>
        <v/>
      </c>
      <c r="BT7" s="204" t="str">
        <f aca="false">IF(Model!BR13=0,"",Model!BR13)</f>
        <v/>
      </c>
      <c r="BU7" s="204" t="str">
        <f aca="false">IF(Model!BS13=0,"",Model!BS13)</f>
        <v/>
      </c>
      <c r="BV7" s="204" t="str">
        <f aca="false">IF(Model!BT13=0,"",Model!BT13)</f>
        <v/>
      </c>
      <c r="BW7" s="204" t="str">
        <f aca="false">IF(Model!BU13=0,"",Model!BU13)</f>
        <v/>
      </c>
      <c r="BX7" s="204" t="str">
        <f aca="false">IF(Model!BV13=0,"",Model!BV13)</f>
        <v/>
      </c>
      <c r="BY7" s="204" t="str">
        <f aca="false">IF(Model!BW13=0,"",Model!BW13)</f>
        <v/>
      </c>
      <c r="BZ7" s="204" t="str">
        <f aca="false">IF(Model!BX13=0,"",Model!BX13)</f>
        <v/>
      </c>
      <c r="CA7" s="204" t="str">
        <f aca="false">IF(Model!BY13=0,"",Model!BY13)</f>
        <v/>
      </c>
      <c r="CB7" s="204" t="str">
        <f aca="false">IF(Model!BZ13=0,"",Model!BZ13)</f>
        <v/>
      </c>
      <c r="CC7" s="204" t="str">
        <f aca="false">IF(Model!CA13=0,"",Model!CA13)</f>
        <v/>
      </c>
      <c r="CD7" s="204" t="str">
        <f aca="false">IF(Model!CB13=0,"",Model!CB13)</f>
        <v/>
      </c>
      <c r="CE7" s="204" t="str">
        <f aca="false">IF(Model!CC13=0,"",Model!CC13)</f>
        <v/>
      </c>
      <c r="CF7" s="204" t="str">
        <f aca="false">IF(Model!CD13=0,"",Model!CD13)</f>
        <v/>
      </c>
      <c r="CG7" s="204" t="str">
        <f aca="false">IF(Model!CE13=0,"",Model!CE13)</f>
        <v/>
      </c>
      <c r="CH7" s="204" t="str">
        <f aca="false">IF(Model!CF13=0,"",Model!CF13)</f>
        <v/>
      </c>
      <c r="CI7" s="204" t="str">
        <f aca="false">IF(Model!CG13=0,"",Model!CG13)</f>
        <v/>
      </c>
      <c r="CJ7" s="204" t="str">
        <f aca="false">IF(Model!CH13=0,"",Model!CH13)</f>
        <v/>
      </c>
      <c r="CK7" s="204" t="str">
        <f aca="false">IF(Model!CI13=0,"",Model!CI13)</f>
        <v/>
      </c>
      <c r="CL7" s="204" t="str">
        <f aca="false">IF(Model!CJ13=0,"",Model!CJ13)</f>
        <v/>
      </c>
      <c r="CM7" s="204" t="str">
        <f aca="false">IF(Model!CK13=0,"",Model!CK13)</f>
        <v/>
      </c>
      <c r="CN7" s="204" t="str">
        <f aca="false">IF(Model!CL13=0,"",Model!CL13)</f>
        <v/>
      </c>
      <c r="CO7" s="204" t="str">
        <f aca="false">IF(Model!CM13=0,"",Model!CM13)</f>
        <v/>
      </c>
      <c r="CP7" s="204" t="str">
        <f aca="false">IF(Model!CN13=0,"",Model!CN13)</f>
        <v/>
      </c>
      <c r="CQ7" s="204" t="str">
        <f aca="false">IF(Model!CO13=0,"",Model!CO13)</f>
        <v/>
      </c>
      <c r="CR7" s="204" t="str">
        <f aca="false">IF(Model!CP13=0,"",Model!CP13)</f>
        <v/>
      </c>
      <c r="CS7" s="204" t="str">
        <f aca="false">IF(Model!CQ13=0,"",Model!CQ13)</f>
        <v/>
      </c>
      <c r="CT7" s="204" t="str">
        <f aca="false">IF(Model!CR13=0,"",Model!CR13)</f>
        <v/>
      </c>
      <c r="CU7" s="204" t="str">
        <f aca="false">IF(Model!CS13=0,"",Model!CS13)</f>
        <v/>
      </c>
      <c r="CV7" s="204" t="str">
        <f aca="false">IF(Model!CT13=0,"",Model!CT13)</f>
        <v/>
      </c>
      <c r="CW7" s="204" t="str">
        <f aca="false">IF(Model!CU13=0,"",Model!CU13)</f>
        <v/>
      </c>
      <c r="CX7" s="204" t="str">
        <f aca="false">IF(Model!CV13=0,"",Model!CV13)</f>
        <v/>
      </c>
      <c r="CY7" s="204" t="str">
        <f aca="false">IF(Model!CW13=0,"",Model!CW13)</f>
        <v/>
      </c>
      <c r="CZ7" s="204" t="str">
        <f aca="false">IF(Model!CX13=0,"",Model!CX13)</f>
        <v/>
      </c>
      <c r="DA7" s="204" t="str">
        <f aca="false">IF(Model!CY13=0,"",Model!CY13)</f>
        <v/>
      </c>
      <c r="DB7" s="204" t="str">
        <f aca="false">IF(Model!CZ13=0,"",Model!CZ13)</f>
        <v/>
      </c>
    </row>
    <row r="8" customFormat="false" ht="15" hidden="false" customHeight="true" outlineLevel="0" collapsed="false">
      <c r="A8" s="123" t="s">
        <v>8</v>
      </c>
      <c r="B8" s="201" t="n">
        <f aca="false">Projects!$B$3</f>
        <v>20176449</v>
      </c>
      <c r="C8" s="202" t="n">
        <f aca="false">EDATE(Model!$E$2,Projects!$C$3-1)</f>
        <v>46113</v>
      </c>
      <c r="D8" s="202" t="n">
        <f aca="false">EDATE(Model!$E$2,18-1)</f>
        <v>46631</v>
      </c>
      <c r="E8" s="203" t="n">
        <f aca="false">DATEDIF(C8,D8,"m")+1</f>
        <v>18</v>
      </c>
      <c r="F8" s="201" t="n">
        <f aca="false">SUM(G8:DB8)</f>
        <v>18038662.42</v>
      </c>
      <c r="G8" s="204" t="n">
        <f aca="false">IF(Model!E14=0,"",Model!E14)</f>
        <v>1237428.59</v>
      </c>
      <c r="H8" s="204" t="n">
        <f aca="false">IF(Model!F14=0,"",Model!F14)</f>
        <v>1120082.41</v>
      </c>
      <c r="I8" s="204" t="n">
        <f aca="false">IF(Model!G14=0,"",Model!G14)</f>
        <v>1858219.93</v>
      </c>
      <c r="J8" s="204" t="n">
        <f aca="false">IF(Model!H14=0,"",Model!H14)</f>
        <v>1987246.69</v>
      </c>
      <c r="K8" s="204" t="n">
        <f aca="false">IF(Model!I14=0,"",Model!I14)</f>
        <v>1397700.58</v>
      </c>
      <c r="L8" s="204" t="n">
        <f aca="false">IF(Model!J14=0,"",Model!J14)</f>
        <v>1194967.04</v>
      </c>
      <c r="M8" s="204" t="n">
        <f aca="false">IF(Model!K14=0,"",Model!K14)</f>
        <v>815077.04</v>
      </c>
      <c r="N8" s="204" t="n">
        <f aca="false">IF(Model!L14=0,"",Model!L14)</f>
        <v>741216.48</v>
      </c>
      <c r="O8" s="204" t="n">
        <f aca="false">IF(Model!M14=0,"",Model!M14)</f>
        <v>749168.4</v>
      </c>
      <c r="P8" s="204" t="n">
        <f aca="false">IF(Model!N14=0,"",Model!N14)</f>
        <v>971939.79</v>
      </c>
      <c r="Q8" s="204" t="n">
        <f aca="false">IF(Model!O14=0,"",Model!O14)</f>
        <v>809808.44</v>
      </c>
      <c r="R8" s="204" t="n">
        <f aca="false">IF(Model!P14=0,"",Model!P14)</f>
        <v>1050106.48</v>
      </c>
      <c r="S8" s="204" t="n">
        <f aca="false">IF(Model!Q14=0,"",Model!Q14)</f>
        <v>858162.3</v>
      </c>
      <c r="T8" s="204" t="n">
        <f aca="false">IF(Model!R14=0,"",Model!R14)</f>
        <v>677761.69</v>
      </c>
      <c r="U8" s="204" t="n">
        <f aca="false">IF(Model!S14=0,"",Model!S14)</f>
        <v>619657.29</v>
      </c>
      <c r="V8" s="204" t="n">
        <f aca="false">IF(Model!T14=0,"",Model!T14)</f>
        <v>833901.29</v>
      </c>
      <c r="W8" s="204" t="n">
        <f aca="false">IF(Model!U14=0,"",Model!U14)</f>
        <v>832480.71</v>
      </c>
      <c r="X8" s="204" t="n">
        <f aca="false">IF(Model!V14=0,"",Model!V14)</f>
        <v>283737.27</v>
      </c>
      <c r="Y8" s="204" t="str">
        <f aca="false">IF(Model!W14=0,"",Model!W14)</f>
        <v/>
      </c>
      <c r="Z8" s="204" t="str">
        <f aca="false">IF(Model!X14=0,"",Model!X14)</f>
        <v/>
      </c>
      <c r="AA8" s="204" t="str">
        <f aca="false">IF(Model!Y14=0,"",Model!Y14)</f>
        <v/>
      </c>
      <c r="AB8" s="204" t="str">
        <f aca="false">IF(Model!Z14=0,"",Model!Z14)</f>
        <v/>
      </c>
      <c r="AC8" s="204" t="str">
        <f aca="false">IF(Model!AA14=0,"",Model!AA14)</f>
        <v/>
      </c>
      <c r="AD8" s="204" t="str">
        <f aca="false">IF(Model!AB14=0,"",Model!AB14)</f>
        <v/>
      </c>
      <c r="AE8" s="204" t="str">
        <f aca="false">IF(Model!AC14=0,"",Model!AC14)</f>
        <v/>
      </c>
      <c r="AF8" s="204" t="str">
        <f aca="false">IF(Model!AD14=0,"",Model!AD14)</f>
        <v/>
      </c>
      <c r="AG8" s="204" t="str">
        <f aca="false">IF(Model!AE14=0,"",Model!AE14)</f>
        <v/>
      </c>
      <c r="AH8" s="204" t="str">
        <f aca="false">IF(Model!AF14=0,"",Model!AF14)</f>
        <v/>
      </c>
      <c r="AI8" s="204" t="str">
        <f aca="false">IF(Model!AG14=0,"",Model!AG14)</f>
        <v/>
      </c>
      <c r="AJ8" s="204" t="str">
        <f aca="false">IF(Model!AH14=0,"",Model!AH14)</f>
        <v/>
      </c>
      <c r="AK8" s="204" t="str">
        <f aca="false">IF(Model!AI14=0,"",Model!AI14)</f>
        <v/>
      </c>
      <c r="AL8" s="204" t="str">
        <f aca="false">IF(Model!AJ14=0,"",Model!AJ14)</f>
        <v/>
      </c>
      <c r="AM8" s="204" t="str">
        <f aca="false">IF(Model!AK14=0,"",Model!AK14)</f>
        <v/>
      </c>
      <c r="AN8" s="204" t="str">
        <f aca="false">IF(Model!AL14=0,"",Model!AL14)</f>
        <v/>
      </c>
      <c r="AO8" s="204" t="str">
        <f aca="false">IF(Model!AM14=0,"",Model!AM14)</f>
        <v/>
      </c>
      <c r="AP8" s="204" t="str">
        <f aca="false">IF(Model!AN14=0,"",Model!AN14)</f>
        <v/>
      </c>
      <c r="AQ8" s="204" t="str">
        <f aca="false">IF(Model!AO14=0,"",Model!AO14)</f>
        <v/>
      </c>
      <c r="AR8" s="204" t="str">
        <f aca="false">IF(Model!AP14=0,"",Model!AP14)</f>
        <v/>
      </c>
      <c r="AS8" s="204" t="str">
        <f aca="false">IF(Model!AQ14=0,"",Model!AQ14)</f>
        <v/>
      </c>
      <c r="AT8" s="204" t="str">
        <f aca="false">IF(Model!AR14=0,"",Model!AR14)</f>
        <v/>
      </c>
      <c r="AU8" s="204" t="str">
        <f aca="false">IF(Model!AS14=0,"",Model!AS14)</f>
        <v/>
      </c>
      <c r="AV8" s="204" t="str">
        <f aca="false">IF(Model!AT14=0,"",Model!AT14)</f>
        <v/>
      </c>
      <c r="AW8" s="204" t="str">
        <f aca="false">IF(Model!AU14=0,"",Model!AU14)</f>
        <v/>
      </c>
      <c r="AX8" s="204" t="str">
        <f aca="false">IF(Model!AV14=0,"",Model!AV14)</f>
        <v/>
      </c>
      <c r="AY8" s="204" t="str">
        <f aca="false">IF(Model!AW14=0,"",Model!AW14)</f>
        <v/>
      </c>
      <c r="AZ8" s="204" t="str">
        <f aca="false">IF(Model!AX14=0,"",Model!AX14)</f>
        <v/>
      </c>
      <c r="BA8" s="204" t="str">
        <f aca="false">IF(Model!AY14=0,"",Model!AY14)</f>
        <v/>
      </c>
      <c r="BB8" s="204" t="str">
        <f aca="false">IF(Model!AZ14=0,"",Model!AZ14)</f>
        <v/>
      </c>
      <c r="BC8" s="204" t="str">
        <f aca="false">IF(Model!BA14=0,"",Model!BA14)</f>
        <v/>
      </c>
      <c r="BD8" s="204" t="str">
        <f aca="false">IF(Model!BB14=0,"",Model!BB14)</f>
        <v/>
      </c>
      <c r="BE8" s="204" t="str">
        <f aca="false">IF(Model!BC14=0,"",Model!BC14)</f>
        <v/>
      </c>
      <c r="BF8" s="204" t="str">
        <f aca="false">IF(Model!BD14=0,"",Model!BD14)</f>
        <v/>
      </c>
      <c r="BG8" s="204" t="str">
        <f aca="false">IF(Model!BE14=0,"",Model!BE14)</f>
        <v/>
      </c>
      <c r="BH8" s="204" t="str">
        <f aca="false">IF(Model!BF14=0,"",Model!BF14)</f>
        <v/>
      </c>
      <c r="BI8" s="204" t="str">
        <f aca="false">IF(Model!BG14=0,"",Model!BG14)</f>
        <v/>
      </c>
      <c r="BJ8" s="204" t="str">
        <f aca="false">IF(Model!BH14=0,"",Model!BH14)</f>
        <v/>
      </c>
      <c r="BK8" s="204" t="str">
        <f aca="false">IF(Model!BI14=0,"",Model!BI14)</f>
        <v/>
      </c>
      <c r="BL8" s="204" t="str">
        <f aca="false">IF(Model!BJ14=0,"",Model!BJ14)</f>
        <v/>
      </c>
      <c r="BM8" s="204" t="str">
        <f aca="false">IF(Model!BK14=0,"",Model!BK14)</f>
        <v/>
      </c>
      <c r="BN8" s="204" t="str">
        <f aca="false">IF(Model!BL14=0,"",Model!BL14)</f>
        <v/>
      </c>
      <c r="BO8" s="204" t="str">
        <f aca="false">IF(Model!BM14=0,"",Model!BM14)</f>
        <v/>
      </c>
      <c r="BP8" s="204" t="str">
        <f aca="false">IF(Model!BN14=0,"",Model!BN14)</f>
        <v/>
      </c>
      <c r="BQ8" s="204" t="str">
        <f aca="false">IF(Model!BO14=0,"",Model!BO14)</f>
        <v/>
      </c>
      <c r="BR8" s="204" t="str">
        <f aca="false">IF(Model!BP14=0,"",Model!BP14)</f>
        <v/>
      </c>
      <c r="BS8" s="204" t="str">
        <f aca="false">IF(Model!BQ14=0,"",Model!BQ14)</f>
        <v/>
      </c>
      <c r="BT8" s="204" t="str">
        <f aca="false">IF(Model!BR14=0,"",Model!BR14)</f>
        <v/>
      </c>
      <c r="BU8" s="204" t="str">
        <f aca="false">IF(Model!BS14=0,"",Model!BS14)</f>
        <v/>
      </c>
      <c r="BV8" s="204" t="str">
        <f aca="false">IF(Model!BT14=0,"",Model!BT14)</f>
        <v/>
      </c>
      <c r="BW8" s="204" t="str">
        <f aca="false">IF(Model!BU14=0,"",Model!BU14)</f>
        <v/>
      </c>
      <c r="BX8" s="204" t="str">
        <f aca="false">IF(Model!BV14=0,"",Model!BV14)</f>
        <v/>
      </c>
      <c r="BY8" s="204" t="str">
        <f aca="false">IF(Model!BW14=0,"",Model!BW14)</f>
        <v/>
      </c>
      <c r="BZ8" s="204" t="str">
        <f aca="false">IF(Model!BX14=0,"",Model!BX14)</f>
        <v/>
      </c>
      <c r="CA8" s="204" t="str">
        <f aca="false">IF(Model!BY14=0,"",Model!BY14)</f>
        <v/>
      </c>
      <c r="CB8" s="204" t="str">
        <f aca="false">IF(Model!BZ14=0,"",Model!BZ14)</f>
        <v/>
      </c>
      <c r="CC8" s="204" t="str">
        <f aca="false">IF(Model!CA14=0,"",Model!CA14)</f>
        <v/>
      </c>
      <c r="CD8" s="204" t="str">
        <f aca="false">IF(Model!CB14=0,"",Model!CB14)</f>
        <v/>
      </c>
      <c r="CE8" s="204" t="str">
        <f aca="false">IF(Model!CC14=0,"",Model!CC14)</f>
        <v/>
      </c>
      <c r="CF8" s="204" t="str">
        <f aca="false">IF(Model!CD14=0,"",Model!CD14)</f>
        <v/>
      </c>
      <c r="CG8" s="204" t="str">
        <f aca="false">IF(Model!CE14=0,"",Model!CE14)</f>
        <v/>
      </c>
      <c r="CH8" s="204" t="str">
        <f aca="false">IF(Model!CF14=0,"",Model!CF14)</f>
        <v/>
      </c>
      <c r="CI8" s="204" t="str">
        <f aca="false">IF(Model!CG14=0,"",Model!CG14)</f>
        <v/>
      </c>
      <c r="CJ8" s="204" t="str">
        <f aca="false">IF(Model!CH14=0,"",Model!CH14)</f>
        <v/>
      </c>
      <c r="CK8" s="204" t="str">
        <f aca="false">IF(Model!CI14=0,"",Model!CI14)</f>
        <v/>
      </c>
      <c r="CL8" s="204" t="str">
        <f aca="false">IF(Model!CJ14=0,"",Model!CJ14)</f>
        <v/>
      </c>
      <c r="CM8" s="204" t="str">
        <f aca="false">IF(Model!CK14=0,"",Model!CK14)</f>
        <v/>
      </c>
      <c r="CN8" s="204" t="str">
        <f aca="false">IF(Model!CL14=0,"",Model!CL14)</f>
        <v/>
      </c>
      <c r="CO8" s="204" t="str">
        <f aca="false">IF(Model!CM14=0,"",Model!CM14)</f>
        <v/>
      </c>
      <c r="CP8" s="204" t="str">
        <f aca="false">IF(Model!CN14=0,"",Model!CN14)</f>
        <v/>
      </c>
      <c r="CQ8" s="204" t="str">
        <f aca="false">IF(Model!CO14=0,"",Model!CO14)</f>
        <v/>
      </c>
      <c r="CR8" s="204" t="str">
        <f aca="false">IF(Model!CP14=0,"",Model!CP14)</f>
        <v/>
      </c>
      <c r="CS8" s="204" t="str">
        <f aca="false">IF(Model!CQ14=0,"",Model!CQ14)</f>
        <v/>
      </c>
      <c r="CT8" s="204" t="str">
        <f aca="false">IF(Model!CR14=0,"",Model!CR14)</f>
        <v/>
      </c>
      <c r="CU8" s="204" t="str">
        <f aca="false">IF(Model!CS14=0,"",Model!CS14)</f>
        <v/>
      </c>
      <c r="CV8" s="204" t="str">
        <f aca="false">IF(Model!CT14=0,"",Model!CT14)</f>
        <v/>
      </c>
      <c r="CW8" s="204" t="str">
        <f aca="false">IF(Model!CU14=0,"",Model!CU14)</f>
        <v/>
      </c>
      <c r="CX8" s="204" t="str">
        <f aca="false">IF(Model!CV14=0,"",Model!CV14)</f>
        <v/>
      </c>
      <c r="CY8" s="204" t="str">
        <f aca="false">IF(Model!CW14=0,"",Model!CW14)</f>
        <v/>
      </c>
      <c r="CZ8" s="204" t="str">
        <f aca="false">IF(Model!CX14=0,"",Model!CX14)</f>
        <v/>
      </c>
      <c r="DA8" s="204" t="str">
        <f aca="false">IF(Model!CY14=0,"",Model!CY14)</f>
        <v/>
      </c>
      <c r="DB8" s="204" t="str">
        <f aca="false">IF(Model!CZ14=0,"",Model!CZ14)</f>
        <v/>
      </c>
    </row>
    <row r="9" customFormat="false" ht="15" hidden="false" customHeight="true" outlineLevel="0" collapsed="false">
      <c r="A9" s="123" t="s">
        <v>9</v>
      </c>
      <c r="B9" s="201" t="n">
        <f aca="false">Projects!$B$4</f>
        <v>11929880</v>
      </c>
      <c r="C9" s="202" t="n">
        <f aca="false">EDATE(Model!$E$2,Projects!$C$4-1)</f>
        <v>46113</v>
      </c>
      <c r="D9" s="202" t="n">
        <f aca="false">EDATE(Model!$E$2,17-1)</f>
        <v>46600</v>
      </c>
      <c r="E9" s="203" t="n">
        <f aca="false">DATEDIF(C9,D9,"m")+1</f>
        <v>17</v>
      </c>
      <c r="F9" s="201" t="n">
        <f aca="false">SUM(G9:DB9)</f>
        <v>10585007.88</v>
      </c>
      <c r="G9" s="204" t="n">
        <f aca="false">IF(Model!E15=0,"",Model!E15)</f>
        <v>571051.61</v>
      </c>
      <c r="H9" s="204" t="n">
        <f aca="false">IF(Model!F15=0,"",Model!F15)</f>
        <v>1099379.66</v>
      </c>
      <c r="I9" s="204" t="n">
        <f aca="false">IF(Model!G15=0,"",Model!G15)</f>
        <v>1315355.15</v>
      </c>
      <c r="J9" s="204" t="n">
        <f aca="false">IF(Model!H15=0,"",Model!H15)</f>
        <v>603209.04</v>
      </c>
      <c r="K9" s="204" t="n">
        <f aca="false">IF(Model!I15=0,"",Model!I15)</f>
        <v>736924.86</v>
      </c>
      <c r="L9" s="204" t="n">
        <f aca="false">IF(Model!J15=0,"",Model!J15)</f>
        <v>1261242.08</v>
      </c>
      <c r="M9" s="204" t="n">
        <f aca="false">IF(Model!K15=0,"",Model!K15)</f>
        <v>461886.09</v>
      </c>
      <c r="N9" s="204" t="n">
        <f aca="false">IF(Model!L15=0,"",Model!L15)</f>
        <v>488171.48</v>
      </c>
      <c r="O9" s="204" t="n">
        <f aca="false">IF(Model!M15=0,"",Model!M15)</f>
        <v>650549</v>
      </c>
      <c r="P9" s="204" t="n">
        <f aca="false">IF(Model!N15=0,"",Model!N15)</f>
        <v>585157.97</v>
      </c>
      <c r="Q9" s="204" t="n">
        <f aca="false">IF(Model!O15=0,"",Model!O15)</f>
        <v>497554.02</v>
      </c>
      <c r="R9" s="204" t="n">
        <f aca="false">IF(Model!P15=0,"",Model!P15)</f>
        <v>597185.64</v>
      </c>
      <c r="S9" s="204" t="n">
        <f aca="false">IF(Model!Q15=0,"",Model!Q15)</f>
        <v>572361.81</v>
      </c>
      <c r="T9" s="204" t="n">
        <f aca="false">IF(Model!R15=0,"",Model!R15)</f>
        <v>509265.9</v>
      </c>
      <c r="U9" s="204" t="n">
        <f aca="false">IF(Model!S15=0,"",Model!S15)</f>
        <v>344727.54</v>
      </c>
      <c r="V9" s="204" t="n">
        <f aca="false">IF(Model!T15=0,"",Model!T15)</f>
        <v>149345.54</v>
      </c>
      <c r="W9" s="204" t="n">
        <f aca="false">IF(Model!U15=0,"",Model!U15)</f>
        <v>141640.49</v>
      </c>
      <c r="X9" s="204" t="str">
        <f aca="false">IF(Model!V15=0,"",Model!V15)</f>
        <v/>
      </c>
      <c r="Y9" s="204" t="str">
        <f aca="false">IF(Model!W15=0,"",Model!W15)</f>
        <v/>
      </c>
      <c r="Z9" s="204" t="str">
        <f aca="false">IF(Model!X15=0,"",Model!X15)</f>
        <v/>
      </c>
      <c r="AA9" s="204" t="str">
        <f aca="false">IF(Model!Y15=0,"",Model!Y15)</f>
        <v/>
      </c>
      <c r="AB9" s="204" t="str">
        <f aca="false">IF(Model!Z15=0,"",Model!Z15)</f>
        <v/>
      </c>
      <c r="AC9" s="204" t="str">
        <f aca="false">IF(Model!AA15=0,"",Model!AA15)</f>
        <v/>
      </c>
      <c r="AD9" s="204" t="str">
        <f aca="false">IF(Model!AB15=0,"",Model!AB15)</f>
        <v/>
      </c>
      <c r="AE9" s="204" t="str">
        <f aca="false">IF(Model!AC15=0,"",Model!AC15)</f>
        <v/>
      </c>
      <c r="AF9" s="204" t="str">
        <f aca="false">IF(Model!AD15=0,"",Model!AD15)</f>
        <v/>
      </c>
      <c r="AG9" s="204" t="str">
        <f aca="false">IF(Model!AE15=0,"",Model!AE15)</f>
        <v/>
      </c>
      <c r="AH9" s="204" t="str">
        <f aca="false">IF(Model!AF15=0,"",Model!AF15)</f>
        <v/>
      </c>
      <c r="AI9" s="204" t="str">
        <f aca="false">IF(Model!AG15=0,"",Model!AG15)</f>
        <v/>
      </c>
      <c r="AJ9" s="204" t="str">
        <f aca="false">IF(Model!AH15=0,"",Model!AH15)</f>
        <v/>
      </c>
      <c r="AK9" s="204" t="str">
        <f aca="false">IF(Model!AI15=0,"",Model!AI15)</f>
        <v/>
      </c>
      <c r="AL9" s="204" t="str">
        <f aca="false">IF(Model!AJ15=0,"",Model!AJ15)</f>
        <v/>
      </c>
      <c r="AM9" s="204" t="str">
        <f aca="false">IF(Model!AK15=0,"",Model!AK15)</f>
        <v/>
      </c>
      <c r="AN9" s="204" t="str">
        <f aca="false">IF(Model!AL15=0,"",Model!AL15)</f>
        <v/>
      </c>
      <c r="AO9" s="204" t="str">
        <f aca="false">IF(Model!AM15=0,"",Model!AM15)</f>
        <v/>
      </c>
      <c r="AP9" s="204" t="str">
        <f aca="false">IF(Model!AN15=0,"",Model!AN15)</f>
        <v/>
      </c>
      <c r="AQ9" s="204" t="str">
        <f aca="false">IF(Model!AO15=0,"",Model!AO15)</f>
        <v/>
      </c>
      <c r="AR9" s="204" t="str">
        <f aca="false">IF(Model!AP15=0,"",Model!AP15)</f>
        <v/>
      </c>
      <c r="AS9" s="204" t="str">
        <f aca="false">IF(Model!AQ15=0,"",Model!AQ15)</f>
        <v/>
      </c>
      <c r="AT9" s="204" t="str">
        <f aca="false">IF(Model!AR15=0,"",Model!AR15)</f>
        <v/>
      </c>
      <c r="AU9" s="204" t="str">
        <f aca="false">IF(Model!AS15=0,"",Model!AS15)</f>
        <v/>
      </c>
      <c r="AV9" s="204" t="str">
        <f aca="false">IF(Model!AT15=0,"",Model!AT15)</f>
        <v/>
      </c>
      <c r="AW9" s="204" t="str">
        <f aca="false">IF(Model!AU15=0,"",Model!AU15)</f>
        <v/>
      </c>
      <c r="AX9" s="204" t="str">
        <f aca="false">IF(Model!AV15=0,"",Model!AV15)</f>
        <v/>
      </c>
      <c r="AY9" s="204" t="str">
        <f aca="false">IF(Model!AW15=0,"",Model!AW15)</f>
        <v/>
      </c>
      <c r="AZ9" s="204" t="str">
        <f aca="false">IF(Model!AX15=0,"",Model!AX15)</f>
        <v/>
      </c>
      <c r="BA9" s="204" t="str">
        <f aca="false">IF(Model!AY15=0,"",Model!AY15)</f>
        <v/>
      </c>
      <c r="BB9" s="204" t="str">
        <f aca="false">IF(Model!AZ15=0,"",Model!AZ15)</f>
        <v/>
      </c>
      <c r="BC9" s="204" t="str">
        <f aca="false">IF(Model!BA15=0,"",Model!BA15)</f>
        <v/>
      </c>
      <c r="BD9" s="204" t="str">
        <f aca="false">IF(Model!BB15=0,"",Model!BB15)</f>
        <v/>
      </c>
      <c r="BE9" s="204" t="str">
        <f aca="false">IF(Model!BC15=0,"",Model!BC15)</f>
        <v/>
      </c>
      <c r="BF9" s="204" t="str">
        <f aca="false">IF(Model!BD15=0,"",Model!BD15)</f>
        <v/>
      </c>
      <c r="BG9" s="204" t="str">
        <f aca="false">IF(Model!BE15=0,"",Model!BE15)</f>
        <v/>
      </c>
      <c r="BH9" s="204" t="str">
        <f aca="false">IF(Model!BF15=0,"",Model!BF15)</f>
        <v/>
      </c>
      <c r="BI9" s="204" t="str">
        <f aca="false">IF(Model!BG15=0,"",Model!BG15)</f>
        <v/>
      </c>
      <c r="BJ9" s="204" t="str">
        <f aca="false">IF(Model!BH15=0,"",Model!BH15)</f>
        <v/>
      </c>
      <c r="BK9" s="204" t="str">
        <f aca="false">IF(Model!BI15=0,"",Model!BI15)</f>
        <v/>
      </c>
      <c r="BL9" s="204" t="str">
        <f aca="false">IF(Model!BJ15=0,"",Model!BJ15)</f>
        <v/>
      </c>
      <c r="BM9" s="204" t="str">
        <f aca="false">IF(Model!BK15=0,"",Model!BK15)</f>
        <v/>
      </c>
      <c r="BN9" s="204" t="str">
        <f aca="false">IF(Model!BL15=0,"",Model!BL15)</f>
        <v/>
      </c>
      <c r="BO9" s="204" t="str">
        <f aca="false">IF(Model!BM15=0,"",Model!BM15)</f>
        <v/>
      </c>
      <c r="BP9" s="204" t="str">
        <f aca="false">IF(Model!BN15=0,"",Model!BN15)</f>
        <v/>
      </c>
      <c r="BQ9" s="204" t="str">
        <f aca="false">IF(Model!BO15=0,"",Model!BO15)</f>
        <v/>
      </c>
      <c r="BR9" s="204" t="str">
        <f aca="false">IF(Model!BP15=0,"",Model!BP15)</f>
        <v/>
      </c>
      <c r="BS9" s="204" t="str">
        <f aca="false">IF(Model!BQ15=0,"",Model!BQ15)</f>
        <v/>
      </c>
      <c r="BT9" s="204" t="str">
        <f aca="false">IF(Model!BR15=0,"",Model!BR15)</f>
        <v/>
      </c>
      <c r="BU9" s="204" t="str">
        <f aca="false">IF(Model!BS15=0,"",Model!BS15)</f>
        <v/>
      </c>
      <c r="BV9" s="204" t="str">
        <f aca="false">IF(Model!BT15=0,"",Model!BT15)</f>
        <v/>
      </c>
      <c r="BW9" s="204" t="str">
        <f aca="false">IF(Model!BU15=0,"",Model!BU15)</f>
        <v/>
      </c>
      <c r="BX9" s="204" t="str">
        <f aca="false">IF(Model!BV15=0,"",Model!BV15)</f>
        <v/>
      </c>
      <c r="BY9" s="204" t="str">
        <f aca="false">IF(Model!BW15=0,"",Model!BW15)</f>
        <v/>
      </c>
      <c r="BZ9" s="204" t="str">
        <f aca="false">IF(Model!BX15=0,"",Model!BX15)</f>
        <v/>
      </c>
      <c r="CA9" s="204" t="str">
        <f aca="false">IF(Model!BY15=0,"",Model!BY15)</f>
        <v/>
      </c>
      <c r="CB9" s="204" t="str">
        <f aca="false">IF(Model!BZ15=0,"",Model!BZ15)</f>
        <v/>
      </c>
      <c r="CC9" s="204" t="str">
        <f aca="false">IF(Model!CA15=0,"",Model!CA15)</f>
        <v/>
      </c>
      <c r="CD9" s="204" t="str">
        <f aca="false">IF(Model!CB15=0,"",Model!CB15)</f>
        <v/>
      </c>
      <c r="CE9" s="204" t="str">
        <f aca="false">IF(Model!CC15=0,"",Model!CC15)</f>
        <v/>
      </c>
      <c r="CF9" s="204" t="str">
        <f aca="false">IF(Model!CD15=0,"",Model!CD15)</f>
        <v/>
      </c>
      <c r="CG9" s="204" t="str">
        <f aca="false">IF(Model!CE15=0,"",Model!CE15)</f>
        <v/>
      </c>
      <c r="CH9" s="204" t="str">
        <f aca="false">IF(Model!CF15=0,"",Model!CF15)</f>
        <v/>
      </c>
      <c r="CI9" s="204" t="str">
        <f aca="false">IF(Model!CG15=0,"",Model!CG15)</f>
        <v/>
      </c>
      <c r="CJ9" s="204" t="str">
        <f aca="false">IF(Model!CH15=0,"",Model!CH15)</f>
        <v/>
      </c>
      <c r="CK9" s="204" t="str">
        <f aca="false">IF(Model!CI15=0,"",Model!CI15)</f>
        <v/>
      </c>
      <c r="CL9" s="204" t="str">
        <f aca="false">IF(Model!CJ15=0,"",Model!CJ15)</f>
        <v/>
      </c>
      <c r="CM9" s="204" t="str">
        <f aca="false">IF(Model!CK15=0,"",Model!CK15)</f>
        <v/>
      </c>
      <c r="CN9" s="204" t="str">
        <f aca="false">IF(Model!CL15=0,"",Model!CL15)</f>
        <v/>
      </c>
      <c r="CO9" s="204" t="str">
        <f aca="false">IF(Model!CM15=0,"",Model!CM15)</f>
        <v/>
      </c>
      <c r="CP9" s="204" t="str">
        <f aca="false">IF(Model!CN15=0,"",Model!CN15)</f>
        <v/>
      </c>
      <c r="CQ9" s="204" t="str">
        <f aca="false">IF(Model!CO15=0,"",Model!CO15)</f>
        <v/>
      </c>
      <c r="CR9" s="204" t="str">
        <f aca="false">IF(Model!CP15=0,"",Model!CP15)</f>
        <v/>
      </c>
      <c r="CS9" s="204" t="str">
        <f aca="false">IF(Model!CQ15=0,"",Model!CQ15)</f>
        <v/>
      </c>
      <c r="CT9" s="204" t="str">
        <f aca="false">IF(Model!CR15=0,"",Model!CR15)</f>
        <v/>
      </c>
      <c r="CU9" s="204" t="str">
        <f aca="false">IF(Model!CS15=0,"",Model!CS15)</f>
        <v/>
      </c>
      <c r="CV9" s="204" t="str">
        <f aca="false">IF(Model!CT15=0,"",Model!CT15)</f>
        <v/>
      </c>
      <c r="CW9" s="204" t="str">
        <f aca="false">IF(Model!CU15=0,"",Model!CU15)</f>
        <v/>
      </c>
      <c r="CX9" s="204" t="str">
        <f aca="false">IF(Model!CV15=0,"",Model!CV15)</f>
        <v/>
      </c>
      <c r="CY9" s="204" t="str">
        <f aca="false">IF(Model!CW15=0,"",Model!CW15)</f>
        <v/>
      </c>
      <c r="CZ9" s="204" t="str">
        <f aca="false">IF(Model!CX15=0,"",Model!CX15)</f>
        <v/>
      </c>
      <c r="DA9" s="204" t="str">
        <f aca="false">IF(Model!CY15=0,"",Model!CY15)</f>
        <v/>
      </c>
      <c r="DB9" s="204" t="str">
        <f aca="false">IF(Model!CZ15=0,"",Model!CZ15)</f>
        <v/>
      </c>
    </row>
    <row r="10" customFormat="false" ht="15" hidden="false" customHeight="true" outlineLevel="0" collapsed="false">
      <c r="A10" s="123" t="s">
        <v>10</v>
      </c>
      <c r="B10" s="201" t="n">
        <f aca="false">Projects!$B$5</f>
        <v>14427884</v>
      </c>
      <c r="C10" s="202" t="n">
        <f aca="false">EDATE(Model!$E$2,Projects!$C$5-1)</f>
        <v>46113</v>
      </c>
      <c r="D10" s="202" t="n">
        <f aca="false">EDATE(Model!$E$2,19-1)</f>
        <v>46661</v>
      </c>
      <c r="E10" s="203" t="n">
        <f aca="false">DATEDIF(C10,D10,"m")+1</f>
        <v>19</v>
      </c>
      <c r="F10" s="201" t="n">
        <f aca="false">SUM(G10:DB10)</f>
        <v>12866882.78</v>
      </c>
      <c r="G10" s="204" t="n">
        <f aca="false">IF(Model!E16=0,"",Model!E16)</f>
        <v>577813.6</v>
      </c>
      <c r="H10" s="204" t="n">
        <f aca="false">IF(Model!F16=0,"",Model!F16)</f>
        <v>785971.45</v>
      </c>
      <c r="I10" s="204" t="n">
        <f aca="false">IF(Model!G16=0,"",Model!G16)</f>
        <v>1198349.29</v>
      </c>
      <c r="J10" s="204" t="n">
        <f aca="false">IF(Model!H16=0,"",Model!H16)</f>
        <v>1191447.65</v>
      </c>
      <c r="K10" s="204" t="n">
        <f aca="false">IF(Model!I16=0,"",Model!I16)</f>
        <v>1568049.76</v>
      </c>
      <c r="L10" s="204" t="n">
        <f aca="false">IF(Model!J16=0,"",Model!J16)</f>
        <v>1527496.71</v>
      </c>
      <c r="M10" s="204" t="n">
        <f aca="false">IF(Model!K16=0,"",Model!K16)</f>
        <v>542154.36</v>
      </c>
      <c r="N10" s="204" t="n">
        <f aca="false">IF(Model!L16=0,"",Model!L16)</f>
        <v>509835.57</v>
      </c>
      <c r="O10" s="204" t="n">
        <f aca="false">IF(Model!M16=0,"",Model!M16)</f>
        <v>439331.57</v>
      </c>
      <c r="P10" s="204" t="n">
        <f aca="false">IF(Model!N16=0,"",Model!N16)</f>
        <v>515849.83</v>
      </c>
      <c r="Q10" s="204" t="n">
        <f aca="false">IF(Model!O16=0,"",Model!O16)</f>
        <v>492274.7</v>
      </c>
      <c r="R10" s="204" t="n">
        <f aca="false">IF(Model!P16=0,"",Model!P16)</f>
        <v>347513.21</v>
      </c>
      <c r="S10" s="204" t="n">
        <f aca="false">IF(Model!Q16=0,"",Model!Q16)</f>
        <v>326394.52</v>
      </c>
      <c r="T10" s="204" t="n">
        <f aca="false">IF(Model!R16=0,"",Model!R16)</f>
        <v>251483.96</v>
      </c>
      <c r="U10" s="204" t="n">
        <f aca="false">IF(Model!S16=0,"",Model!S16)</f>
        <v>612215.42</v>
      </c>
      <c r="V10" s="204" t="n">
        <f aca="false">IF(Model!T16=0,"",Model!T16)</f>
        <v>871620.13</v>
      </c>
      <c r="W10" s="204" t="n">
        <f aca="false">IF(Model!U16=0,"",Model!U16)</f>
        <v>588727.53</v>
      </c>
      <c r="X10" s="204" t="n">
        <f aca="false">IF(Model!V16=0,"",Model!V16)</f>
        <v>374851.55</v>
      </c>
      <c r="Y10" s="204" t="n">
        <f aca="false">IF(Model!W16=0,"",Model!W16)</f>
        <v>145501.97</v>
      </c>
      <c r="Z10" s="204" t="str">
        <f aca="false">IF(Model!X16=0,"",Model!X16)</f>
        <v/>
      </c>
      <c r="AA10" s="204" t="str">
        <f aca="false">IF(Model!Y16=0,"",Model!Y16)</f>
        <v/>
      </c>
      <c r="AB10" s="204" t="str">
        <f aca="false">IF(Model!Z16=0,"",Model!Z16)</f>
        <v/>
      </c>
      <c r="AC10" s="204" t="str">
        <f aca="false">IF(Model!AA16=0,"",Model!AA16)</f>
        <v/>
      </c>
      <c r="AD10" s="204" t="str">
        <f aca="false">IF(Model!AB16=0,"",Model!AB16)</f>
        <v/>
      </c>
      <c r="AE10" s="204" t="str">
        <f aca="false">IF(Model!AC16=0,"",Model!AC16)</f>
        <v/>
      </c>
      <c r="AF10" s="204" t="str">
        <f aca="false">IF(Model!AD16=0,"",Model!AD16)</f>
        <v/>
      </c>
      <c r="AG10" s="204" t="str">
        <f aca="false">IF(Model!AE16=0,"",Model!AE16)</f>
        <v/>
      </c>
      <c r="AH10" s="204" t="str">
        <f aca="false">IF(Model!AF16=0,"",Model!AF16)</f>
        <v/>
      </c>
      <c r="AI10" s="204" t="str">
        <f aca="false">IF(Model!AG16=0,"",Model!AG16)</f>
        <v/>
      </c>
      <c r="AJ10" s="204" t="str">
        <f aca="false">IF(Model!AH16=0,"",Model!AH16)</f>
        <v/>
      </c>
      <c r="AK10" s="204" t="str">
        <f aca="false">IF(Model!AI16=0,"",Model!AI16)</f>
        <v/>
      </c>
      <c r="AL10" s="204" t="str">
        <f aca="false">IF(Model!AJ16=0,"",Model!AJ16)</f>
        <v/>
      </c>
      <c r="AM10" s="204" t="str">
        <f aca="false">IF(Model!AK16=0,"",Model!AK16)</f>
        <v/>
      </c>
      <c r="AN10" s="204" t="str">
        <f aca="false">IF(Model!AL16=0,"",Model!AL16)</f>
        <v/>
      </c>
      <c r="AO10" s="204" t="str">
        <f aca="false">IF(Model!AM16=0,"",Model!AM16)</f>
        <v/>
      </c>
      <c r="AP10" s="204" t="str">
        <f aca="false">IF(Model!AN16=0,"",Model!AN16)</f>
        <v/>
      </c>
      <c r="AQ10" s="204" t="str">
        <f aca="false">IF(Model!AO16=0,"",Model!AO16)</f>
        <v/>
      </c>
      <c r="AR10" s="204" t="str">
        <f aca="false">IF(Model!AP16=0,"",Model!AP16)</f>
        <v/>
      </c>
      <c r="AS10" s="204" t="str">
        <f aca="false">IF(Model!AQ16=0,"",Model!AQ16)</f>
        <v/>
      </c>
      <c r="AT10" s="204" t="str">
        <f aca="false">IF(Model!AR16=0,"",Model!AR16)</f>
        <v/>
      </c>
      <c r="AU10" s="204" t="str">
        <f aca="false">IF(Model!AS16=0,"",Model!AS16)</f>
        <v/>
      </c>
      <c r="AV10" s="204" t="str">
        <f aca="false">IF(Model!AT16=0,"",Model!AT16)</f>
        <v/>
      </c>
      <c r="AW10" s="204" t="str">
        <f aca="false">IF(Model!AU16=0,"",Model!AU16)</f>
        <v/>
      </c>
      <c r="AX10" s="204" t="str">
        <f aca="false">IF(Model!AV16=0,"",Model!AV16)</f>
        <v/>
      </c>
      <c r="AY10" s="204" t="str">
        <f aca="false">IF(Model!AW16=0,"",Model!AW16)</f>
        <v/>
      </c>
      <c r="AZ10" s="204" t="str">
        <f aca="false">IF(Model!AX16=0,"",Model!AX16)</f>
        <v/>
      </c>
      <c r="BA10" s="204" t="str">
        <f aca="false">IF(Model!AY16=0,"",Model!AY16)</f>
        <v/>
      </c>
      <c r="BB10" s="204" t="str">
        <f aca="false">IF(Model!AZ16=0,"",Model!AZ16)</f>
        <v/>
      </c>
      <c r="BC10" s="204" t="str">
        <f aca="false">IF(Model!BA16=0,"",Model!BA16)</f>
        <v/>
      </c>
      <c r="BD10" s="204" t="str">
        <f aca="false">IF(Model!BB16=0,"",Model!BB16)</f>
        <v/>
      </c>
      <c r="BE10" s="204" t="str">
        <f aca="false">IF(Model!BC16=0,"",Model!BC16)</f>
        <v/>
      </c>
      <c r="BF10" s="204" t="str">
        <f aca="false">IF(Model!BD16=0,"",Model!BD16)</f>
        <v/>
      </c>
      <c r="BG10" s="204" t="str">
        <f aca="false">IF(Model!BE16=0,"",Model!BE16)</f>
        <v/>
      </c>
      <c r="BH10" s="204" t="str">
        <f aca="false">IF(Model!BF16=0,"",Model!BF16)</f>
        <v/>
      </c>
      <c r="BI10" s="204" t="str">
        <f aca="false">IF(Model!BG16=0,"",Model!BG16)</f>
        <v/>
      </c>
      <c r="BJ10" s="204" t="str">
        <f aca="false">IF(Model!BH16=0,"",Model!BH16)</f>
        <v/>
      </c>
      <c r="BK10" s="204" t="str">
        <f aca="false">IF(Model!BI16=0,"",Model!BI16)</f>
        <v/>
      </c>
      <c r="BL10" s="204" t="str">
        <f aca="false">IF(Model!BJ16=0,"",Model!BJ16)</f>
        <v/>
      </c>
      <c r="BM10" s="204" t="str">
        <f aca="false">IF(Model!BK16=0,"",Model!BK16)</f>
        <v/>
      </c>
      <c r="BN10" s="204" t="str">
        <f aca="false">IF(Model!BL16=0,"",Model!BL16)</f>
        <v/>
      </c>
      <c r="BO10" s="204" t="str">
        <f aca="false">IF(Model!BM16=0,"",Model!BM16)</f>
        <v/>
      </c>
      <c r="BP10" s="204" t="str">
        <f aca="false">IF(Model!BN16=0,"",Model!BN16)</f>
        <v/>
      </c>
      <c r="BQ10" s="204" t="str">
        <f aca="false">IF(Model!BO16=0,"",Model!BO16)</f>
        <v/>
      </c>
      <c r="BR10" s="204" t="str">
        <f aca="false">IF(Model!BP16=0,"",Model!BP16)</f>
        <v/>
      </c>
      <c r="BS10" s="204" t="str">
        <f aca="false">IF(Model!BQ16=0,"",Model!BQ16)</f>
        <v/>
      </c>
      <c r="BT10" s="204" t="str">
        <f aca="false">IF(Model!BR16=0,"",Model!BR16)</f>
        <v/>
      </c>
      <c r="BU10" s="204" t="str">
        <f aca="false">IF(Model!BS16=0,"",Model!BS16)</f>
        <v/>
      </c>
      <c r="BV10" s="204" t="str">
        <f aca="false">IF(Model!BT16=0,"",Model!BT16)</f>
        <v/>
      </c>
      <c r="BW10" s="204" t="str">
        <f aca="false">IF(Model!BU16=0,"",Model!BU16)</f>
        <v/>
      </c>
      <c r="BX10" s="204" t="str">
        <f aca="false">IF(Model!BV16=0,"",Model!BV16)</f>
        <v/>
      </c>
      <c r="BY10" s="204" t="str">
        <f aca="false">IF(Model!BW16=0,"",Model!BW16)</f>
        <v/>
      </c>
      <c r="BZ10" s="204" t="str">
        <f aca="false">IF(Model!BX16=0,"",Model!BX16)</f>
        <v/>
      </c>
      <c r="CA10" s="204" t="str">
        <f aca="false">IF(Model!BY16=0,"",Model!BY16)</f>
        <v/>
      </c>
      <c r="CB10" s="204" t="str">
        <f aca="false">IF(Model!BZ16=0,"",Model!BZ16)</f>
        <v/>
      </c>
      <c r="CC10" s="204" t="str">
        <f aca="false">IF(Model!CA16=0,"",Model!CA16)</f>
        <v/>
      </c>
      <c r="CD10" s="204" t="str">
        <f aca="false">IF(Model!CB16=0,"",Model!CB16)</f>
        <v/>
      </c>
      <c r="CE10" s="204" t="str">
        <f aca="false">IF(Model!CC16=0,"",Model!CC16)</f>
        <v/>
      </c>
      <c r="CF10" s="204" t="str">
        <f aca="false">IF(Model!CD16=0,"",Model!CD16)</f>
        <v/>
      </c>
      <c r="CG10" s="204" t="str">
        <f aca="false">IF(Model!CE16=0,"",Model!CE16)</f>
        <v/>
      </c>
      <c r="CH10" s="204" t="str">
        <f aca="false">IF(Model!CF16=0,"",Model!CF16)</f>
        <v/>
      </c>
      <c r="CI10" s="204" t="str">
        <f aca="false">IF(Model!CG16=0,"",Model!CG16)</f>
        <v/>
      </c>
      <c r="CJ10" s="204" t="str">
        <f aca="false">IF(Model!CH16=0,"",Model!CH16)</f>
        <v/>
      </c>
      <c r="CK10" s="204" t="str">
        <f aca="false">IF(Model!CI16=0,"",Model!CI16)</f>
        <v/>
      </c>
      <c r="CL10" s="204" t="str">
        <f aca="false">IF(Model!CJ16=0,"",Model!CJ16)</f>
        <v/>
      </c>
      <c r="CM10" s="204" t="str">
        <f aca="false">IF(Model!CK16=0,"",Model!CK16)</f>
        <v/>
      </c>
      <c r="CN10" s="204" t="str">
        <f aca="false">IF(Model!CL16=0,"",Model!CL16)</f>
        <v/>
      </c>
      <c r="CO10" s="204" t="str">
        <f aca="false">IF(Model!CM16=0,"",Model!CM16)</f>
        <v/>
      </c>
      <c r="CP10" s="204" t="str">
        <f aca="false">IF(Model!CN16=0,"",Model!CN16)</f>
        <v/>
      </c>
      <c r="CQ10" s="204" t="str">
        <f aca="false">IF(Model!CO16=0,"",Model!CO16)</f>
        <v/>
      </c>
      <c r="CR10" s="204" t="str">
        <f aca="false">IF(Model!CP16=0,"",Model!CP16)</f>
        <v/>
      </c>
      <c r="CS10" s="204" t="str">
        <f aca="false">IF(Model!CQ16=0,"",Model!CQ16)</f>
        <v/>
      </c>
      <c r="CT10" s="204" t="str">
        <f aca="false">IF(Model!CR16=0,"",Model!CR16)</f>
        <v/>
      </c>
      <c r="CU10" s="204" t="str">
        <f aca="false">IF(Model!CS16=0,"",Model!CS16)</f>
        <v/>
      </c>
      <c r="CV10" s="204" t="str">
        <f aca="false">IF(Model!CT16=0,"",Model!CT16)</f>
        <v/>
      </c>
      <c r="CW10" s="204" t="str">
        <f aca="false">IF(Model!CU16=0,"",Model!CU16)</f>
        <v/>
      </c>
      <c r="CX10" s="204" t="str">
        <f aca="false">IF(Model!CV16=0,"",Model!CV16)</f>
        <v/>
      </c>
      <c r="CY10" s="204" t="str">
        <f aca="false">IF(Model!CW16=0,"",Model!CW16)</f>
        <v/>
      </c>
      <c r="CZ10" s="204" t="str">
        <f aca="false">IF(Model!CX16=0,"",Model!CX16)</f>
        <v/>
      </c>
      <c r="DA10" s="204" t="str">
        <f aca="false">IF(Model!CY16=0,"",Model!CY16)</f>
        <v/>
      </c>
      <c r="DB10" s="204" t="str">
        <f aca="false">IF(Model!CZ16=0,"",Model!CZ16)</f>
        <v/>
      </c>
    </row>
    <row r="11" customFormat="false" ht="15" hidden="false" customHeight="true" outlineLevel="0" collapsed="false">
      <c r="A11" s="123" t="s">
        <v>11</v>
      </c>
      <c r="B11" s="201" t="n">
        <f aca="false">Projects!$B$6</f>
        <v>3623245</v>
      </c>
      <c r="C11" s="202" t="n">
        <f aca="false">EDATE(Model!$E$2,Projects!$C$6-1)</f>
        <v>46113</v>
      </c>
      <c r="D11" s="202" t="n">
        <f aca="false">EDATE(Model!$E$2,15-1)</f>
        <v>46539</v>
      </c>
      <c r="E11" s="203" t="n">
        <f aca="false">DATEDIF(C11,D11,"m")+1</f>
        <v>15</v>
      </c>
      <c r="F11" s="201" t="n">
        <f aca="false">SUM(G11:DB11)</f>
        <v>3256382.91</v>
      </c>
      <c r="G11" s="204" t="n">
        <f aca="false">IF(Model!E17=0,"",Model!E17)</f>
        <v>222415.49</v>
      </c>
      <c r="H11" s="204" t="n">
        <f aca="false">IF(Model!F17=0,"",Model!F17)</f>
        <v>222238.96</v>
      </c>
      <c r="I11" s="204" t="n">
        <f aca="false">IF(Model!G17=0,"",Model!G17)</f>
        <v>325125.94</v>
      </c>
      <c r="J11" s="204" t="n">
        <f aca="false">IF(Model!H17=0,"",Model!H17)</f>
        <v>251137.32</v>
      </c>
      <c r="K11" s="204" t="n">
        <f aca="false">IF(Model!I17=0,"",Model!I17)</f>
        <v>453013.02</v>
      </c>
      <c r="L11" s="204" t="n">
        <f aca="false">IF(Model!J17=0,"",Model!J17)</f>
        <v>228950.43</v>
      </c>
      <c r="M11" s="204" t="n">
        <f aca="false">IF(Model!K17=0,"",Model!K17)</f>
        <v>371003.8</v>
      </c>
      <c r="N11" s="204" t="n">
        <f aca="false">IF(Model!L17=0,"",Model!L17)</f>
        <v>217495.84</v>
      </c>
      <c r="O11" s="204" t="n">
        <f aca="false">IF(Model!M17=0,"",Model!M17)</f>
        <v>185467.9</v>
      </c>
      <c r="P11" s="204" t="n">
        <f aca="false">IF(Model!N17=0,"",Model!N17)</f>
        <v>280874.08</v>
      </c>
      <c r="Q11" s="204" t="n">
        <f aca="false">IF(Model!O17=0,"",Model!O17)</f>
        <v>251083.56</v>
      </c>
      <c r="R11" s="204" t="n">
        <f aca="false">IF(Model!P17=0,"",Model!P17)</f>
        <v>95915.43</v>
      </c>
      <c r="S11" s="204" t="n">
        <f aca="false">IF(Model!Q17=0,"",Model!Q17)</f>
        <v>80111.01</v>
      </c>
      <c r="T11" s="204" t="n">
        <f aca="false">IF(Model!R17=0,"",Model!R17)</f>
        <v>54755.77</v>
      </c>
      <c r="U11" s="204" t="n">
        <f aca="false">IF(Model!S17=0,"",Model!S17)</f>
        <v>16794.36</v>
      </c>
      <c r="V11" s="204" t="str">
        <f aca="false">IF(Model!T17=0,"",Model!T17)</f>
        <v/>
      </c>
      <c r="W11" s="204" t="str">
        <f aca="false">IF(Model!U17=0,"",Model!U17)</f>
        <v/>
      </c>
      <c r="X11" s="204" t="str">
        <f aca="false">IF(Model!V17=0,"",Model!V17)</f>
        <v/>
      </c>
      <c r="Y11" s="204" t="str">
        <f aca="false">IF(Model!W17=0,"",Model!W17)</f>
        <v/>
      </c>
      <c r="Z11" s="204" t="str">
        <f aca="false">IF(Model!X17=0,"",Model!X17)</f>
        <v/>
      </c>
      <c r="AA11" s="204" t="str">
        <f aca="false">IF(Model!Y17=0,"",Model!Y17)</f>
        <v/>
      </c>
      <c r="AB11" s="204" t="str">
        <f aca="false">IF(Model!Z17=0,"",Model!Z17)</f>
        <v/>
      </c>
      <c r="AC11" s="204" t="str">
        <f aca="false">IF(Model!AA17=0,"",Model!AA17)</f>
        <v/>
      </c>
      <c r="AD11" s="204" t="str">
        <f aca="false">IF(Model!AB17=0,"",Model!AB17)</f>
        <v/>
      </c>
      <c r="AE11" s="204" t="str">
        <f aca="false">IF(Model!AC17=0,"",Model!AC17)</f>
        <v/>
      </c>
      <c r="AF11" s="204" t="str">
        <f aca="false">IF(Model!AD17=0,"",Model!AD17)</f>
        <v/>
      </c>
      <c r="AG11" s="204" t="str">
        <f aca="false">IF(Model!AE17=0,"",Model!AE17)</f>
        <v/>
      </c>
      <c r="AH11" s="204" t="str">
        <f aca="false">IF(Model!AF17=0,"",Model!AF17)</f>
        <v/>
      </c>
      <c r="AI11" s="204" t="str">
        <f aca="false">IF(Model!AG17=0,"",Model!AG17)</f>
        <v/>
      </c>
      <c r="AJ11" s="204" t="str">
        <f aca="false">IF(Model!AH17=0,"",Model!AH17)</f>
        <v/>
      </c>
      <c r="AK11" s="204" t="str">
        <f aca="false">IF(Model!AI17=0,"",Model!AI17)</f>
        <v/>
      </c>
      <c r="AL11" s="204" t="str">
        <f aca="false">IF(Model!AJ17=0,"",Model!AJ17)</f>
        <v/>
      </c>
      <c r="AM11" s="204" t="str">
        <f aca="false">IF(Model!AK17=0,"",Model!AK17)</f>
        <v/>
      </c>
      <c r="AN11" s="204" t="str">
        <f aca="false">IF(Model!AL17=0,"",Model!AL17)</f>
        <v/>
      </c>
      <c r="AO11" s="204" t="str">
        <f aca="false">IF(Model!AM17=0,"",Model!AM17)</f>
        <v/>
      </c>
      <c r="AP11" s="204" t="str">
        <f aca="false">IF(Model!AN17=0,"",Model!AN17)</f>
        <v/>
      </c>
      <c r="AQ11" s="204" t="str">
        <f aca="false">IF(Model!AO17=0,"",Model!AO17)</f>
        <v/>
      </c>
      <c r="AR11" s="204" t="str">
        <f aca="false">IF(Model!AP17=0,"",Model!AP17)</f>
        <v/>
      </c>
      <c r="AS11" s="204" t="str">
        <f aca="false">IF(Model!AQ17=0,"",Model!AQ17)</f>
        <v/>
      </c>
      <c r="AT11" s="204" t="str">
        <f aca="false">IF(Model!AR17=0,"",Model!AR17)</f>
        <v/>
      </c>
      <c r="AU11" s="204" t="str">
        <f aca="false">IF(Model!AS17=0,"",Model!AS17)</f>
        <v/>
      </c>
      <c r="AV11" s="204" t="str">
        <f aca="false">IF(Model!AT17=0,"",Model!AT17)</f>
        <v/>
      </c>
      <c r="AW11" s="204" t="str">
        <f aca="false">IF(Model!AU17=0,"",Model!AU17)</f>
        <v/>
      </c>
      <c r="AX11" s="204" t="str">
        <f aca="false">IF(Model!AV17=0,"",Model!AV17)</f>
        <v/>
      </c>
      <c r="AY11" s="204" t="str">
        <f aca="false">IF(Model!AW17=0,"",Model!AW17)</f>
        <v/>
      </c>
      <c r="AZ11" s="204" t="str">
        <f aca="false">IF(Model!AX17=0,"",Model!AX17)</f>
        <v/>
      </c>
      <c r="BA11" s="204" t="str">
        <f aca="false">IF(Model!AY17=0,"",Model!AY17)</f>
        <v/>
      </c>
      <c r="BB11" s="204" t="str">
        <f aca="false">IF(Model!AZ17=0,"",Model!AZ17)</f>
        <v/>
      </c>
      <c r="BC11" s="204" t="str">
        <f aca="false">IF(Model!BA17=0,"",Model!BA17)</f>
        <v/>
      </c>
      <c r="BD11" s="204" t="str">
        <f aca="false">IF(Model!BB17=0,"",Model!BB17)</f>
        <v/>
      </c>
      <c r="BE11" s="204" t="str">
        <f aca="false">IF(Model!BC17=0,"",Model!BC17)</f>
        <v/>
      </c>
      <c r="BF11" s="204" t="str">
        <f aca="false">IF(Model!BD17=0,"",Model!BD17)</f>
        <v/>
      </c>
      <c r="BG11" s="204" t="str">
        <f aca="false">IF(Model!BE17=0,"",Model!BE17)</f>
        <v/>
      </c>
      <c r="BH11" s="204" t="str">
        <f aca="false">IF(Model!BF17=0,"",Model!BF17)</f>
        <v/>
      </c>
      <c r="BI11" s="204" t="str">
        <f aca="false">IF(Model!BG17=0,"",Model!BG17)</f>
        <v/>
      </c>
      <c r="BJ11" s="204" t="str">
        <f aca="false">IF(Model!BH17=0,"",Model!BH17)</f>
        <v/>
      </c>
      <c r="BK11" s="204" t="str">
        <f aca="false">IF(Model!BI17=0,"",Model!BI17)</f>
        <v/>
      </c>
      <c r="BL11" s="204" t="str">
        <f aca="false">IF(Model!BJ17=0,"",Model!BJ17)</f>
        <v/>
      </c>
      <c r="BM11" s="204" t="str">
        <f aca="false">IF(Model!BK17=0,"",Model!BK17)</f>
        <v/>
      </c>
      <c r="BN11" s="204" t="str">
        <f aca="false">IF(Model!BL17=0,"",Model!BL17)</f>
        <v/>
      </c>
      <c r="BO11" s="204" t="str">
        <f aca="false">IF(Model!BM17=0,"",Model!BM17)</f>
        <v/>
      </c>
      <c r="BP11" s="204" t="str">
        <f aca="false">IF(Model!BN17=0,"",Model!BN17)</f>
        <v/>
      </c>
      <c r="BQ11" s="204" t="str">
        <f aca="false">IF(Model!BO17=0,"",Model!BO17)</f>
        <v/>
      </c>
      <c r="BR11" s="204" t="str">
        <f aca="false">IF(Model!BP17=0,"",Model!BP17)</f>
        <v/>
      </c>
      <c r="BS11" s="204" t="str">
        <f aca="false">IF(Model!BQ17=0,"",Model!BQ17)</f>
        <v/>
      </c>
      <c r="BT11" s="204" t="str">
        <f aca="false">IF(Model!BR17=0,"",Model!BR17)</f>
        <v/>
      </c>
      <c r="BU11" s="204" t="str">
        <f aca="false">IF(Model!BS17=0,"",Model!BS17)</f>
        <v/>
      </c>
      <c r="BV11" s="204" t="str">
        <f aca="false">IF(Model!BT17=0,"",Model!BT17)</f>
        <v/>
      </c>
      <c r="BW11" s="204" t="str">
        <f aca="false">IF(Model!BU17=0,"",Model!BU17)</f>
        <v/>
      </c>
      <c r="BX11" s="204" t="str">
        <f aca="false">IF(Model!BV17=0,"",Model!BV17)</f>
        <v/>
      </c>
      <c r="BY11" s="204" t="str">
        <f aca="false">IF(Model!BW17=0,"",Model!BW17)</f>
        <v/>
      </c>
      <c r="BZ11" s="204" t="str">
        <f aca="false">IF(Model!BX17=0,"",Model!BX17)</f>
        <v/>
      </c>
      <c r="CA11" s="204" t="str">
        <f aca="false">IF(Model!BY17=0,"",Model!BY17)</f>
        <v/>
      </c>
      <c r="CB11" s="204" t="str">
        <f aca="false">IF(Model!BZ17=0,"",Model!BZ17)</f>
        <v/>
      </c>
      <c r="CC11" s="204" t="str">
        <f aca="false">IF(Model!CA17=0,"",Model!CA17)</f>
        <v/>
      </c>
      <c r="CD11" s="204" t="str">
        <f aca="false">IF(Model!CB17=0,"",Model!CB17)</f>
        <v/>
      </c>
      <c r="CE11" s="204" t="str">
        <f aca="false">IF(Model!CC17=0,"",Model!CC17)</f>
        <v/>
      </c>
      <c r="CF11" s="204" t="str">
        <f aca="false">IF(Model!CD17=0,"",Model!CD17)</f>
        <v/>
      </c>
      <c r="CG11" s="204" t="str">
        <f aca="false">IF(Model!CE17=0,"",Model!CE17)</f>
        <v/>
      </c>
      <c r="CH11" s="204" t="str">
        <f aca="false">IF(Model!CF17=0,"",Model!CF17)</f>
        <v/>
      </c>
      <c r="CI11" s="204" t="str">
        <f aca="false">IF(Model!CG17=0,"",Model!CG17)</f>
        <v/>
      </c>
      <c r="CJ11" s="204" t="str">
        <f aca="false">IF(Model!CH17=0,"",Model!CH17)</f>
        <v/>
      </c>
      <c r="CK11" s="204" t="str">
        <f aca="false">IF(Model!CI17=0,"",Model!CI17)</f>
        <v/>
      </c>
      <c r="CL11" s="204" t="str">
        <f aca="false">IF(Model!CJ17=0,"",Model!CJ17)</f>
        <v/>
      </c>
      <c r="CM11" s="204" t="str">
        <f aca="false">IF(Model!CK17=0,"",Model!CK17)</f>
        <v/>
      </c>
      <c r="CN11" s="204" t="str">
        <f aca="false">IF(Model!CL17=0,"",Model!CL17)</f>
        <v/>
      </c>
      <c r="CO11" s="204" t="str">
        <f aca="false">IF(Model!CM17=0,"",Model!CM17)</f>
        <v/>
      </c>
      <c r="CP11" s="204" t="str">
        <f aca="false">IF(Model!CN17=0,"",Model!CN17)</f>
        <v/>
      </c>
      <c r="CQ11" s="204" t="str">
        <f aca="false">IF(Model!CO17=0,"",Model!CO17)</f>
        <v/>
      </c>
      <c r="CR11" s="204" t="str">
        <f aca="false">IF(Model!CP17=0,"",Model!CP17)</f>
        <v/>
      </c>
      <c r="CS11" s="204" t="str">
        <f aca="false">IF(Model!CQ17=0,"",Model!CQ17)</f>
        <v/>
      </c>
      <c r="CT11" s="204" t="str">
        <f aca="false">IF(Model!CR17=0,"",Model!CR17)</f>
        <v/>
      </c>
      <c r="CU11" s="204" t="str">
        <f aca="false">IF(Model!CS17=0,"",Model!CS17)</f>
        <v/>
      </c>
      <c r="CV11" s="204" t="str">
        <f aca="false">IF(Model!CT17=0,"",Model!CT17)</f>
        <v/>
      </c>
      <c r="CW11" s="204" t="str">
        <f aca="false">IF(Model!CU17=0,"",Model!CU17)</f>
        <v/>
      </c>
      <c r="CX11" s="204" t="str">
        <f aca="false">IF(Model!CV17=0,"",Model!CV17)</f>
        <v/>
      </c>
      <c r="CY11" s="204" t="str">
        <f aca="false">IF(Model!CW17=0,"",Model!CW17)</f>
        <v/>
      </c>
      <c r="CZ11" s="204" t="str">
        <f aca="false">IF(Model!CX17=0,"",Model!CX17)</f>
        <v/>
      </c>
      <c r="DA11" s="204" t="str">
        <f aca="false">IF(Model!CY17=0,"",Model!CY17)</f>
        <v/>
      </c>
      <c r="DB11" s="204" t="str">
        <f aca="false">IF(Model!CZ17=0,"",Model!CZ17)</f>
        <v/>
      </c>
    </row>
    <row r="12" customFormat="false" ht="15" hidden="false" customHeight="true" outlineLevel="0" collapsed="false">
      <c r="A12" s="123" t="s">
        <v>12</v>
      </c>
      <c r="B12" s="201" t="n">
        <f aca="false">Projects!$B$7</f>
        <v>42794765</v>
      </c>
      <c r="C12" s="202" t="n">
        <f aca="false">EDATE(Model!$E$2,Projects!$C$7-1)</f>
        <v>46235</v>
      </c>
      <c r="D12" s="202" t="n">
        <f aca="false">EDATE(Model!$E$2,36-1)</f>
        <v>47178</v>
      </c>
      <c r="E12" s="203" t="n">
        <f aca="false">DATEDIF(C12,D12,"m")+1</f>
        <v>32</v>
      </c>
      <c r="F12" s="201" t="n">
        <f aca="false">SUM(G12:DB12)</f>
        <v>37728330</v>
      </c>
      <c r="G12" s="204" t="str">
        <f aca="false">IF(Model!E18=0,"",Model!E18)</f>
        <v/>
      </c>
      <c r="H12" s="204" t="str">
        <f aca="false">IF(Model!F18=0,"",Model!F18)</f>
        <v/>
      </c>
      <c r="I12" s="204" t="str">
        <f aca="false">IF(Model!G18=0,"",Model!G18)</f>
        <v/>
      </c>
      <c r="J12" s="204" t="n">
        <f aca="false">IF(Model!H18=0,"",Model!H18)</f>
        <v>932055</v>
      </c>
      <c r="K12" s="204" t="n">
        <f aca="false">IF(Model!I18=0,"",Model!I18)</f>
        <v>173887.43</v>
      </c>
      <c r="L12" s="204" t="n">
        <f aca="false">IF(Model!J18=0,"",Model!J18)</f>
        <v>425637.22</v>
      </c>
      <c r="M12" s="204" t="n">
        <f aca="false">IF(Model!K18=0,"",Model!K18)</f>
        <v>1053412.24</v>
      </c>
      <c r="N12" s="204" t="n">
        <f aca="false">IF(Model!L18=0,"",Model!L18)</f>
        <v>684770.71</v>
      </c>
      <c r="O12" s="204" t="n">
        <f aca="false">IF(Model!M18=0,"",Model!M18)</f>
        <v>513200.1</v>
      </c>
      <c r="P12" s="204" t="n">
        <f aca="false">IF(Model!N18=0,"",Model!N18)</f>
        <v>653798.18</v>
      </c>
      <c r="Q12" s="204" t="n">
        <f aca="false">IF(Model!O18=0,"",Model!O18)</f>
        <v>528908.03</v>
      </c>
      <c r="R12" s="204" t="n">
        <f aca="false">IF(Model!P18=0,"",Model!P18)</f>
        <v>638138.2</v>
      </c>
      <c r="S12" s="204" t="n">
        <f aca="false">IF(Model!Q18=0,"",Model!Q18)</f>
        <v>538967.17</v>
      </c>
      <c r="T12" s="204" t="n">
        <f aca="false">IF(Model!R18=0,"",Model!R18)</f>
        <v>662393.2</v>
      </c>
      <c r="U12" s="204" t="n">
        <f aca="false">IF(Model!S18=0,"",Model!S18)</f>
        <v>622572.88</v>
      </c>
      <c r="V12" s="204" t="n">
        <f aca="false">IF(Model!T18=0,"",Model!T18)</f>
        <v>1116701.29</v>
      </c>
      <c r="W12" s="204" t="n">
        <f aca="false">IF(Model!U18=0,"",Model!U18)</f>
        <v>713626.26</v>
      </c>
      <c r="X12" s="204" t="n">
        <f aca="false">IF(Model!V18=0,"",Model!V18)</f>
        <v>2128085.39</v>
      </c>
      <c r="Y12" s="204" t="n">
        <f aca="false">IF(Model!W18=0,"",Model!W18)</f>
        <v>1344331.61</v>
      </c>
      <c r="Z12" s="204" t="n">
        <f aca="false">IF(Model!X18=0,"",Model!X18)</f>
        <v>2761329.57</v>
      </c>
      <c r="AA12" s="204" t="n">
        <f aca="false">IF(Model!Y18=0,"",Model!Y18)</f>
        <v>1589952.85</v>
      </c>
      <c r="AB12" s="204" t="n">
        <f aca="false">IF(Model!Z18=0,"",Model!Z18)</f>
        <v>2504877.59</v>
      </c>
      <c r="AC12" s="204" t="n">
        <f aca="false">IF(Model!AA18=0,"",Model!AA18)</f>
        <v>2091655.82</v>
      </c>
      <c r="AD12" s="204" t="n">
        <f aca="false">IF(Model!AB18=0,"",Model!AB18)</f>
        <v>1425853.63</v>
      </c>
      <c r="AE12" s="204" t="n">
        <f aca="false">IF(Model!AC18=0,"",Model!AC18)</f>
        <v>902356.71</v>
      </c>
      <c r="AF12" s="204" t="n">
        <f aca="false">IF(Model!AD18=0,"",Model!AD18)</f>
        <v>1068546.51</v>
      </c>
      <c r="AG12" s="204" t="n">
        <f aca="false">IF(Model!AE18=0,"",Model!AE18)</f>
        <v>1002881.47</v>
      </c>
      <c r="AH12" s="204" t="n">
        <f aca="false">IF(Model!AF18=0,"",Model!AF18)</f>
        <v>1240161.39</v>
      </c>
      <c r="AI12" s="204" t="n">
        <f aca="false">IF(Model!AG18=0,"",Model!AG18)</f>
        <v>2153684.82</v>
      </c>
      <c r="AJ12" s="204" t="n">
        <f aca="false">IF(Model!AH18=0,"",Model!AH18)</f>
        <v>1998765.3</v>
      </c>
      <c r="AK12" s="204" t="n">
        <f aca="false">IF(Model!AI18=0,"",Model!AI18)</f>
        <v>1954108.47</v>
      </c>
      <c r="AL12" s="204" t="n">
        <f aca="false">IF(Model!AJ18=0,"",Model!AJ18)</f>
        <v>1066130.08</v>
      </c>
      <c r="AM12" s="204" t="n">
        <f aca="false">IF(Model!AK18=0,"",Model!AK18)</f>
        <v>885036.77</v>
      </c>
      <c r="AN12" s="204" t="n">
        <f aca="false">IF(Model!AL18=0,"",Model!AL18)</f>
        <v>988661.87</v>
      </c>
      <c r="AO12" s="204" t="n">
        <f aca="false">IF(Model!AM18=0,"",Model!AM18)</f>
        <v>1074702.75</v>
      </c>
      <c r="AP12" s="204" t="n">
        <f aca="false">IF(Model!AN18=0,"",Model!AN18)</f>
        <v>289139.49</v>
      </c>
      <c r="AQ12" s="204" t="str">
        <f aca="false">IF(Model!AO18=0,"",Model!AO18)</f>
        <v/>
      </c>
      <c r="AR12" s="204" t="str">
        <f aca="false">IF(Model!AP18=0,"",Model!AP18)</f>
        <v/>
      </c>
      <c r="AS12" s="204" t="str">
        <f aca="false">IF(Model!AQ18=0,"",Model!AQ18)</f>
        <v/>
      </c>
      <c r="AT12" s="204" t="str">
        <f aca="false">IF(Model!AR18=0,"",Model!AR18)</f>
        <v/>
      </c>
      <c r="AU12" s="204" t="str">
        <f aca="false">IF(Model!AS18=0,"",Model!AS18)</f>
        <v/>
      </c>
      <c r="AV12" s="204" t="str">
        <f aca="false">IF(Model!AT18=0,"",Model!AT18)</f>
        <v/>
      </c>
      <c r="AW12" s="204" t="str">
        <f aca="false">IF(Model!AU18=0,"",Model!AU18)</f>
        <v/>
      </c>
      <c r="AX12" s="204" t="str">
        <f aca="false">IF(Model!AV18=0,"",Model!AV18)</f>
        <v/>
      </c>
      <c r="AY12" s="204" t="str">
        <f aca="false">IF(Model!AW18=0,"",Model!AW18)</f>
        <v/>
      </c>
      <c r="AZ12" s="204" t="str">
        <f aca="false">IF(Model!AX18=0,"",Model!AX18)</f>
        <v/>
      </c>
      <c r="BA12" s="204" t="str">
        <f aca="false">IF(Model!AY18=0,"",Model!AY18)</f>
        <v/>
      </c>
      <c r="BB12" s="204" t="str">
        <f aca="false">IF(Model!AZ18=0,"",Model!AZ18)</f>
        <v/>
      </c>
      <c r="BC12" s="204" t="str">
        <f aca="false">IF(Model!BA18=0,"",Model!BA18)</f>
        <v/>
      </c>
      <c r="BD12" s="204" t="str">
        <f aca="false">IF(Model!BB18=0,"",Model!BB18)</f>
        <v/>
      </c>
      <c r="BE12" s="204" t="str">
        <f aca="false">IF(Model!BC18=0,"",Model!BC18)</f>
        <v/>
      </c>
      <c r="BF12" s="204" t="str">
        <f aca="false">IF(Model!BD18=0,"",Model!BD18)</f>
        <v/>
      </c>
      <c r="BG12" s="204" t="str">
        <f aca="false">IF(Model!BE18=0,"",Model!BE18)</f>
        <v/>
      </c>
      <c r="BH12" s="204" t="str">
        <f aca="false">IF(Model!BF18=0,"",Model!BF18)</f>
        <v/>
      </c>
      <c r="BI12" s="204" t="str">
        <f aca="false">IF(Model!BG18=0,"",Model!BG18)</f>
        <v/>
      </c>
      <c r="BJ12" s="204" t="str">
        <f aca="false">IF(Model!BH18=0,"",Model!BH18)</f>
        <v/>
      </c>
      <c r="BK12" s="204" t="str">
        <f aca="false">IF(Model!BI18=0,"",Model!BI18)</f>
        <v/>
      </c>
      <c r="BL12" s="204" t="str">
        <f aca="false">IF(Model!BJ18=0,"",Model!BJ18)</f>
        <v/>
      </c>
      <c r="BM12" s="204" t="str">
        <f aca="false">IF(Model!BK18=0,"",Model!BK18)</f>
        <v/>
      </c>
      <c r="BN12" s="204" t="str">
        <f aca="false">IF(Model!BL18=0,"",Model!BL18)</f>
        <v/>
      </c>
      <c r="BO12" s="204" t="str">
        <f aca="false">IF(Model!BM18=0,"",Model!BM18)</f>
        <v/>
      </c>
      <c r="BP12" s="204" t="str">
        <f aca="false">IF(Model!BN18=0,"",Model!BN18)</f>
        <v/>
      </c>
      <c r="BQ12" s="204" t="str">
        <f aca="false">IF(Model!BO18=0,"",Model!BO18)</f>
        <v/>
      </c>
      <c r="BR12" s="204" t="str">
        <f aca="false">IF(Model!BP18=0,"",Model!BP18)</f>
        <v/>
      </c>
      <c r="BS12" s="204" t="str">
        <f aca="false">IF(Model!BQ18=0,"",Model!BQ18)</f>
        <v/>
      </c>
      <c r="BT12" s="204" t="str">
        <f aca="false">IF(Model!BR18=0,"",Model!BR18)</f>
        <v/>
      </c>
      <c r="BU12" s="204" t="str">
        <f aca="false">IF(Model!BS18=0,"",Model!BS18)</f>
        <v/>
      </c>
      <c r="BV12" s="204" t="str">
        <f aca="false">IF(Model!BT18=0,"",Model!BT18)</f>
        <v/>
      </c>
      <c r="BW12" s="204" t="str">
        <f aca="false">IF(Model!BU18=0,"",Model!BU18)</f>
        <v/>
      </c>
      <c r="BX12" s="204" t="str">
        <f aca="false">IF(Model!BV18=0,"",Model!BV18)</f>
        <v/>
      </c>
      <c r="BY12" s="204" t="str">
        <f aca="false">IF(Model!BW18=0,"",Model!BW18)</f>
        <v/>
      </c>
      <c r="BZ12" s="204" t="str">
        <f aca="false">IF(Model!BX18=0,"",Model!BX18)</f>
        <v/>
      </c>
      <c r="CA12" s="204" t="str">
        <f aca="false">IF(Model!BY18=0,"",Model!BY18)</f>
        <v/>
      </c>
      <c r="CB12" s="204" t="str">
        <f aca="false">IF(Model!BZ18=0,"",Model!BZ18)</f>
        <v/>
      </c>
      <c r="CC12" s="204" t="str">
        <f aca="false">IF(Model!CA18=0,"",Model!CA18)</f>
        <v/>
      </c>
      <c r="CD12" s="204" t="str">
        <f aca="false">IF(Model!CB18=0,"",Model!CB18)</f>
        <v/>
      </c>
      <c r="CE12" s="204" t="str">
        <f aca="false">IF(Model!CC18=0,"",Model!CC18)</f>
        <v/>
      </c>
      <c r="CF12" s="204" t="str">
        <f aca="false">IF(Model!CD18=0,"",Model!CD18)</f>
        <v/>
      </c>
      <c r="CG12" s="204" t="str">
        <f aca="false">IF(Model!CE18=0,"",Model!CE18)</f>
        <v/>
      </c>
      <c r="CH12" s="204" t="str">
        <f aca="false">IF(Model!CF18=0,"",Model!CF18)</f>
        <v/>
      </c>
      <c r="CI12" s="204" t="str">
        <f aca="false">IF(Model!CG18=0,"",Model!CG18)</f>
        <v/>
      </c>
      <c r="CJ12" s="204" t="str">
        <f aca="false">IF(Model!CH18=0,"",Model!CH18)</f>
        <v/>
      </c>
      <c r="CK12" s="204" t="str">
        <f aca="false">IF(Model!CI18=0,"",Model!CI18)</f>
        <v/>
      </c>
      <c r="CL12" s="204" t="str">
        <f aca="false">IF(Model!CJ18=0,"",Model!CJ18)</f>
        <v/>
      </c>
      <c r="CM12" s="204" t="str">
        <f aca="false">IF(Model!CK18=0,"",Model!CK18)</f>
        <v/>
      </c>
      <c r="CN12" s="204" t="str">
        <f aca="false">IF(Model!CL18=0,"",Model!CL18)</f>
        <v/>
      </c>
      <c r="CO12" s="204" t="str">
        <f aca="false">IF(Model!CM18=0,"",Model!CM18)</f>
        <v/>
      </c>
      <c r="CP12" s="204" t="str">
        <f aca="false">IF(Model!CN18=0,"",Model!CN18)</f>
        <v/>
      </c>
      <c r="CQ12" s="204" t="str">
        <f aca="false">IF(Model!CO18=0,"",Model!CO18)</f>
        <v/>
      </c>
      <c r="CR12" s="204" t="str">
        <f aca="false">IF(Model!CP18=0,"",Model!CP18)</f>
        <v/>
      </c>
      <c r="CS12" s="204" t="str">
        <f aca="false">IF(Model!CQ18=0,"",Model!CQ18)</f>
        <v/>
      </c>
      <c r="CT12" s="204" t="str">
        <f aca="false">IF(Model!CR18=0,"",Model!CR18)</f>
        <v/>
      </c>
      <c r="CU12" s="204" t="str">
        <f aca="false">IF(Model!CS18=0,"",Model!CS18)</f>
        <v/>
      </c>
      <c r="CV12" s="204" t="str">
        <f aca="false">IF(Model!CT18=0,"",Model!CT18)</f>
        <v/>
      </c>
      <c r="CW12" s="204" t="str">
        <f aca="false">IF(Model!CU18=0,"",Model!CU18)</f>
        <v/>
      </c>
      <c r="CX12" s="204" t="str">
        <f aca="false">IF(Model!CV18=0,"",Model!CV18)</f>
        <v/>
      </c>
      <c r="CY12" s="204" t="str">
        <f aca="false">IF(Model!CW18=0,"",Model!CW18)</f>
        <v/>
      </c>
      <c r="CZ12" s="204" t="str">
        <f aca="false">IF(Model!CX18=0,"",Model!CX18)</f>
        <v/>
      </c>
      <c r="DA12" s="204" t="str">
        <f aca="false">IF(Model!CY18=0,"",Model!CY18)</f>
        <v/>
      </c>
      <c r="DB12" s="204" t="str">
        <f aca="false">IF(Model!CZ18=0,"",Model!CZ18)</f>
        <v/>
      </c>
    </row>
    <row r="13" customFormat="false" ht="15" hidden="false" customHeight="true" outlineLevel="0" collapsed="false">
      <c r="A13" s="123" t="s">
        <v>13</v>
      </c>
      <c r="B13" s="201" t="n">
        <f aca="false">Projects!$B$8</f>
        <v>12993776.05</v>
      </c>
      <c r="C13" s="202" t="n">
        <f aca="false">EDATE(Model!$E$2,Projects!$C$8-1)</f>
        <v>46266</v>
      </c>
      <c r="D13" s="202" t="n">
        <f aca="false">EDATE(Model!$E$2,Projects!$C$8+Projects!$D$8-2)</f>
        <v>46813</v>
      </c>
      <c r="E13" s="203" t="n">
        <f aca="false">Projects!$D$8</f>
        <v>19</v>
      </c>
      <c r="F13" s="201" t="n">
        <f aca="false">SUM(G13:DB13)</f>
        <v>11429452.96</v>
      </c>
      <c r="G13" s="204" t="str">
        <f aca="false">IF(Model!E19=0,"",Model!E19)</f>
        <v/>
      </c>
      <c r="H13" s="204" t="str">
        <f aca="false">IF(Model!F19=0,"",Model!F19)</f>
        <v/>
      </c>
      <c r="I13" s="204" t="str">
        <f aca="false">IF(Model!G19=0,"",Model!G19)</f>
        <v/>
      </c>
      <c r="J13" s="204" t="str">
        <f aca="false">IF(Model!H19=0,"",Model!H19)</f>
        <v/>
      </c>
      <c r="K13" s="204" t="n">
        <f aca="false">IF(Model!I19=0,"",Model!I19)</f>
        <v>192026.25</v>
      </c>
      <c r="L13" s="204" t="n">
        <f aca="false">IF(Model!J19=0,"",Model!J19)</f>
        <v>163426.21</v>
      </c>
      <c r="M13" s="204" t="n">
        <f aca="false">IF(Model!K19=0,"",Model!K19)</f>
        <v>344698.93</v>
      </c>
      <c r="N13" s="204" t="n">
        <f aca="false">IF(Model!L19=0,"",Model!L19)</f>
        <v>431333.03</v>
      </c>
      <c r="O13" s="204" t="n">
        <f aca="false">IF(Model!M19=0,"",Model!M19)</f>
        <v>520661.15</v>
      </c>
      <c r="P13" s="204" t="n">
        <f aca="false">IF(Model!N19=0,"",Model!N19)</f>
        <v>608390.91</v>
      </c>
      <c r="Q13" s="204" t="n">
        <f aca="false">IF(Model!O19=0,"",Model!O19)</f>
        <v>689649.86</v>
      </c>
      <c r="R13" s="204" t="n">
        <f aca="false">IF(Model!P19=0,"",Model!P19)</f>
        <v>759449.54</v>
      </c>
      <c r="S13" s="204" t="n">
        <f aca="false">IF(Model!Q19=0,"",Model!Q19)</f>
        <v>813162.42</v>
      </c>
      <c r="T13" s="204" t="n">
        <f aca="false">IF(Model!R19=0,"",Model!R19)</f>
        <v>847037.51</v>
      </c>
      <c r="U13" s="204" t="n">
        <f aca="false">IF(Model!S19=0,"",Model!S19)</f>
        <v>858612.78</v>
      </c>
      <c r="V13" s="204" t="n">
        <f aca="false">IF(Model!T19=0,"",Model!T19)</f>
        <v>847037.51</v>
      </c>
      <c r="W13" s="204" t="n">
        <f aca="false">IF(Model!U19=0,"",Model!U19)</f>
        <v>813162.42</v>
      </c>
      <c r="X13" s="204" t="n">
        <f aca="false">IF(Model!V19=0,"",Model!V19)</f>
        <v>759449.54</v>
      </c>
      <c r="Y13" s="204" t="n">
        <f aca="false">IF(Model!W19=0,"",Model!W19)</f>
        <v>689649.86</v>
      </c>
      <c r="Z13" s="204" t="n">
        <f aca="false">IF(Model!X19=0,"",Model!X19)</f>
        <v>608390.91</v>
      </c>
      <c r="AA13" s="204" t="n">
        <f aca="false">IF(Model!Y19=0,"",Model!Y19)</f>
        <v>520661.15</v>
      </c>
      <c r="AB13" s="204" t="n">
        <f aca="false">IF(Model!Z19=0,"",Model!Z19)</f>
        <v>431333.03</v>
      </c>
      <c r="AC13" s="204" t="n">
        <f aca="false">IF(Model!AA19=0,"",Model!AA19)</f>
        <v>344698.93</v>
      </c>
      <c r="AD13" s="204" t="n">
        <f aca="false">IF(Model!AB19=0,"",Model!AB19)</f>
        <v>186621.02</v>
      </c>
      <c r="AE13" s="204" t="str">
        <f aca="false">IF(Model!AC19=0,"",Model!AC19)</f>
        <v/>
      </c>
      <c r="AF13" s="204" t="str">
        <f aca="false">IF(Model!AD19=0,"",Model!AD19)</f>
        <v/>
      </c>
      <c r="AG13" s="204" t="str">
        <f aca="false">IF(Model!AE19=0,"",Model!AE19)</f>
        <v/>
      </c>
      <c r="AH13" s="204" t="str">
        <f aca="false">IF(Model!AF19=0,"",Model!AF19)</f>
        <v/>
      </c>
      <c r="AI13" s="204" t="str">
        <f aca="false">IF(Model!AG19=0,"",Model!AG19)</f>
        <v/>
      </c>
      <c r="AJ13" s="204" t="str">
        <f aca="false">IF(Model!AH19=0,"",Model!AH19)</f>
        <v/>
      </c>
      <c r="AK13" s="204" t="str">
        <f aca="false">IF(Model!AI19=0,"",Model!AI19)</f>
        <v/>
      </c>
      <c r="AL13" s="204" t="str">
        <f aca="false">IF(Model!AJ19=0,"",Model!AJ19)</f>
        <v/>
      </c>
      <c r="AM13" s="204" t="str">
        <f aca="false">IF(Model!AK19=0,"",Model!AK19)</f>
        <v/>
      </c>
      <c r="AN13" s="204" t="str">
        <f aca="false">IF(Model!AL19=0,"",Model!AL19)</f>
        <v/>
      </c>
      <c r="AO13" s="204" t="str">
        <f aca="false">IF(Model!AM19=0,"",Model!AM19)</f>
        <v/>
      </c>
      <c r="AP13" s="204" t="str">
        <f aca="false">IF(Model!AN19=0,"",Model!AN19)</f>
        <v/>
      </c>
      <c r="AQ13" s="204" t="str">
        <f aca="false">IF(Model!AO19=0,"",Model!AO19)</f>
        <v/>
      </c>
      <c r="AR13" s="204" t="str">
        <f aca="false">IF(Model!AP19=0,"",Model!AP19)</f>
        <v/>
      </c>
      <c r="AS13" s="204" t="str">
        <f aca="false">IF(Model!AQ19=0,"",Model!AQ19)</f>
        <v/>
      </c>
      <c r="AT13" s="204" t="str">
        <f aca="false">IF(Model!AR19=0,"",Model!AR19)</f>
        <v/>
      </c>
      <c r="AU13" s="204" t="str">
        <f aca="false">IF(Model!AS19=0,"",Model!AS19)</f>
        <v/>
      </c>
      <c r="AV13" s="204" t="str">
        <f aca="false">IF(Model!AT19=0,"",Model!AT19)</f>
        <v/>
      </c>
      <c r="AW13" s="204" t="str">
        <f aca="false">IF(Model!AU19=0,"",Model!AU19)</f>
        <v/>
      </c>
      <c r="AX13" s="204" t="str">
        <f aca="false">IF(Model!AV19=0,"",Model!AV19)</f>
        <v/>
      </c>
      <c r="AY13" s="204" t="str">
        <f aca="false">IF(Model!AW19=0,"",Model!AW19)</f>
        <v/>
      </c>
      <c r="AZ13" s="204" t="str">
        <f aca="false">IF(Model!AX19=0,"",Model!AX19)</f>
        <v/>
      </c>
      <c r="BA13" s="204" t="str">
        <f aca="false">IF(Model!AY19=0,"",Model!AY19)</f>
        <v/>
      </c>
      <c r="BB13" s="204" t="str">
        <f aca="false">IF(Model!AZ19=0,"",Model!AZ19)</f>
        <v/>
      </c>
      <c r="BC13" s="204" t="str">
        <f aca="false">IF(Model!BA19=0,"",Model!BA19)</f>
        <v/>
      </c>
      <c r="BD13" s="204" t="str">
        <f aca="false">IF(Model!BB19=0,"",Model!BB19)</f>
        <v/>
      </c>
      <c r="BE13" s="204" t="str">
        <f aca="false">IF(Model!BC19=0,"",Model!BC19)</f>
        <v/>
      </c>
      <c r="BF13" s="204" t="str">
        <f aca="false">IF(Model!BD19=0,"",Model!BD19)</f>
        <v/>
      </c>
      <c r="BG13" s="204" t="str">
        <f aca="false">IF(Model!BE19=0,"",Model!BE19)</f>
        <v/>
      </c>
      <c r="BH13" s="204" t="str">
        <f aca="false">IF(Model!BF19=0,"",Model!BF19)</f>
        <v/>
      </c>
      <c r="BI13" s="204" t="str">
        <f aca="false">IF(Model!BG19=0,"",Model!BG19)</f>
        <v/>
      </c>
      <c r="BJ13" s="204" t="str">
        <f aca="false">IF(Model!BH19=0,"",Model!BH19)</f>
        <v/>
      </c>
      <c r="BK13" s="204" t="str">
        <f aca="false">IF(Model!BI19=0,"",Model!BI19)</f>
        <v/>
      </c>
      <c r="BL13" s="204" t="str">
        <f aca="false">IF(Model!BJ19=0,"",Model!BJ19)</f>
        <v/>
      </c>
      <c r="BM13" s="204" t="str">
        <f aca="false">IF(Model!BK19=0,"",Model!BK19)</f>
        <v/>
      </c>
      <c r="BN13" s="204" t="str">
        <f aca="false">IF(Model!BL19=0,"",Model!BL19)</f>
        <v/>
      </c>
      <c r="BO13" s="204" t="str">
        <f aca="false">IF(Model!BM19=0,"",Model!BM19)</f>
        <v/>
      </c>
      <c r="BP13" s="204" t="str">
        <f aca="false">IF(Model!BN19=0,"",Model!BN19)</f>
        <v/>
      </c>
      <c r="BQ13" s="204" t="str">
        <f aca="false">IF(Model!BO19=0,"",Model!BO19)</f>
        <v/>
      </c>
      <c r="BR13" s="204" t="str">
        <f aca="false">IF(Model!BP19=0,"",Model!BP19)</f>
        <v/>
      </c>
      <c r="BS13" s="204" t="str">
        <f aca="false">IF(Model!BQ19=0,"",Model!BQ19)</f>
        <v/>
      </c>
      <c r="BT13" s="204" t="str">
        <f aca="false">IF(Model!BR19=0,"",Model!BR19)</f>
        <v/>
      </c>
      <c r="BU13" s="204" t="str">
        <f aca="false">IF(Model!BS19=0,"",Model!BS19)</f>
        <v/>
      </c>
      <c r="BV13" s="204" t="str">
        <f aca="false">IF(Model!BT19=0,"",Model!BT19)</f>
        <v/>
      </c>
      <c r="BW13" s="204" t="str">
        <f aca="false">IF(Model!BU19=0,"",Model!BU19)</f>
        <v/>
      </c>
      <c r="BX13" s="204" t="str">
        <f aca="false">IF(Model!BV19=0,"",Model!BV19)</f>
        <v/>
      </c>
      <c r="BY13" s="204" t="str">
        <f aca="false">IF(Model!BW19=0,"",Model!BW19)</f>
        <v/>
      </c>
      <c r="BZ13" s="204" t="str">
        <f aca="false">IF(Model!BX19=0,"",Model!BX19)</f>
        <v/>
      </c>
      <c r="CA13" s="204" t="str">
        <f aca="false">IF(Model!BY19=0,"",Model!BY19)</f>
        <v/>
      </c>
      <c r="CB13" s="204" t="str">
        <f aca="false">IF(Model!BZ19=0,"",Model!BZ19)</f>
        <v/>
      </c>
      <c r="CC13" s="204" t="str">
        <f aca="false">IF(Model!CA19=0,"",Model!CA19)</f>
        <v/>
      </c>
      <c r="CD13" s="204" t="str">
        <f aca="false">IF(Model!CB19=0,"",Model!CB19)</f>
        <v/>
      </c>
      <c r="CE13" s="204" t="str">
        <f aca="false">IF(Model!CC19=0,"",Model!CC19)</f>
        <v/>
      </c>
      <c r="CF13" s="204" t="str">
        <f aca="false">IF(Model!CD19=0,"",Model!CD19)</f>
        <v/>
      </c>
      <c r="CG13" s="204" t="str">
        <f aca="false">IF(Model!CE19=0,"",Model!CE19)</f>
        <v/>
      </c>
      <c r="CH13" s="204" t="str">
        <f aca="false">IF(Model!CF19=0,"",Model!CF19)</f>
        <v/>
      </c>
      <c r="CI13" s="204" t="str">
        <f aca="false">IF(Model!CG19=0,"",Model!CG19)</f>
        <v/>
      </c>
      <c r="CJ13" s="204" t="str">
        <f aca="false">IF(Model!CH19=0,"",Model!CH19)</f>
        <v/>
      </c>
      <c r="CK13" s="204" t="str">
        <f aca="false">IF(Model!CI19=0,"",Model!CI19)</f>
        <v/>
      </c>
      <c r="CL13" s="204" t="str">
        <f aca="false">IF(Model!CJ19=0,"",Model!CJ19)</f>
        <v/>
      </c>
      <c r="CM13" s="204" t="str">
        <f aca="false">IF(Model!CK19=0,"",Model!CK19)</f>
        <v/>
      </c>
      <c r="CN13" s="204" t="str">
        <f aca="false">IF(Model!CL19=0,"",Model!CL19)</f>
        <v/>
      </c>
      <c r="CO13" s="204" t="str">
        <f aca="false">IF(Model!CM19=0,"",Model!CM19)</f>
        <v/>
      </c>
      <c r="CP13" s="204" t="str">
        <f aca="false">IF(Model!CN19=0,"",Model!CN19)</f>
        <v/>
      </c>
      <c r="CQ13" s="204" t="str">
        <f aca="false">IF(Model!CO19=0,"",Model!CO19)</f>
        <v/>
      </c>
      <c r="CR13" s="204" t="str">
        <f aca="false">IF(Model!CP19=0,"",Model!CP19)</f>
        <v/>
      </c>
      <c r="CS13" s="204" t="str">
        <f aca="false">IF(Model!CQ19=0,"",Model!CQ19)</f>
        <v/>
      </c>
      <c r="CT13" s="204" t="str">
        <f aca="false">IF(Model!CR19=0,"",Model!CR19)</f>
        <v/>
      </c>
      <c r="CU13" s="204" t="str">
        <f aca="false">IF(Model!CS19=0,"",Model!CS19)</f>
        <v/>
      </c>
      <c r="CV13" s="204" t="str">
        <f aca="false">IF(Model!CT19=0,"",Model!CT19)</f>
        <v/>
      </c>
      <c r="CW13" s="204" t="str">
        <f aca="false">IF(Model!CU19=0,"",Model!CU19)</f>
        <v/>
      </c>
      <c r="CX13" s="204" t="str">
        <f aca="false">IF(Model!CV19=0,"",Model!CV19)</f>
        <v/>
      </c>
      <c r="CY13" s="204" t="str">
        <f aca="false">IF(Model!CW19=0,"",Model!CW19)</f>
        <v/>
      </c>
      <c r="CZ13" s="204" t="str">
        <f aca="false">IF(Model!CX19=0,"",Model!CX19)</f>
        <v/>
      </c>
      <c r="DA13" s="204" t="str">
        <f aca="false">IF(Model!CY19=0,"",Model!CY19)</f>
        <v/>
      </c>
      <c r="DB13" s="204" t="str">
        <f aca="false">IF(Model!CZ19=0,"",Model!CZ19)</f>
        <v/>
      </c>
    </row>
    <row r="14" customFormat="false" ht="15" hidden="false" customHeight="true" outlineLevel="0" collapsed="false">
      <c r="A14" s="123" t="s">
        <v>14</v>
      </c>
      <c r="B14" s="201" t="n">
        <f aca="false">Projects!$B$9</f>
        <v>14337010.8</v>
      </c>
      <c r="C14" s="202" t="n">
        <f aca="false">EDATE(Model!$E$2,Projects!$C$9-1)</f>
        <v>46235</v>
      </c>
      <c r="D14" s="202" t="n">
        <f aca="false">EDATE(Model!$E$2,Projects!$C$9+Projects!$D$9-2)</f>
        <v>46784</v>
      </c>
      <c r="E14" s="203" t="n">
        <f aca="false">Projects!$D$9</f>
        <v>19</v>
      </c>
      <c r="F14" s="201" t="n">
        <f aca="false">SUM(G14:DB14)</f>
        <v>12641645.33</v>
      </c>
      <c r="G14" s="204" t="str">
        <f aca="false">IF(Model!E20=0,"",Model!E20)</f>
        <v/>
      </c>
      <c r="H14" s="204" t="str">
        <f aca="false">IF(Model!F20=0,"",Model!F20)</f>
        <v/>
      </c>
      <c r="I14" s="204" t="str">
        <f aca="false">IF(Model!G20=0,"",Model!G20)</f>
        <v/>
      </c>
      <c r="J14" s="204" t="n">
        <f aca="false">IF(Model!H20=0,"",Model!H20)</f>
        <v>354912</v>
      </c>
      <c r="K14" s="204" t="n">
        <f aca="false">IF(Model!I20=0,"",Model!I20)</f>
        <v>94705.37</v>
      </c>
      <c r="L14" s="204" t="n">
        <f aca="false">IF(Model!J20=0,"",Model!J20)</f>
        <v>193610.23</v>
      </c>
      <c r="M14" s="204" t="n">
        <f aca="false">IF(Model!K20=0,"",Model!K20)</f>
        <v>482353.29</v>
      </c>
      <c r="N14" s="204" t="n">
        <f aca="false">IF(Model!L20=0,"",Model!L20)</f>
        <v>582247.59</v>
      </c>
      <c r="O14" s="204" t="n">
        <f aca="false">IF(Model!M20=0,"",Model!M20)</f>
        <v>680354.47</v>
      </c>
      <c r="P14" s="204" t="n">
        <f aca="false">IF(Model!N20=0,"",Model!N20)</f>
        <v>771225.14</v>
      </c>
      <c r="Q14" s="204" t="n">
        <f aca="false">IF(Model!O20=0,"",Model!O20)</f>
        <v>849281.08</v>
      </c>
      <c r="R14" s="204" t="n">
        <f aca="false">IF(Model!P20=0,"",Model!P20)</f>
        <v>909347.4</v>
      </c>
      <c r="S14" s="204" t="n">
        <f aca="false">IF(Model!Q20=0,"",Model!Q20)</f>
        <v>947229.39</v>
      </c>
      <c r="T14" s="204" t="n">
        <f aca="false">IF(Model!R20=0,"",Model!R20)</f>
        <v>960173.85</v>
      </c>
      <c r="U14" s="204" t="n">
        <f aca="false">IF(Model!S20=0,"",Model!S20)</f>
        <v>947229.39</v>
      </c>
      <c r="V14" s="204" t="n">
        <f aca="false">IF(Model!T20=0,"",Model!T20)</f>
        <v>909347.4</v>
      </c>
      <c r="W14" s="204" t="n">
        <f aca="false">IF(Model!U20=0,"",Model!U20)</f>
        <v>849281.08</v>
      </c>
      <c r="X14" s="204" t="n">
        <f aca="false">IF(Model!V20=0,"",Model!V20)</f>
        <v>771225.14</v>
      </c>
      <c r="Y14" s="204" t="n">
        <f aca="false">IF(Model!W20=0,"",Model!W20)</f>
        <v>680354.47</v>
      </c>
      <c r="Z14" s="204" t="n">
        <f aca="false">IF(Model!X20=0,"",Model!X20)</f>
        <v>582247.59</v>
      </c>
      <c r="AA14" s="204" t="n">
        <f aca="false">IF(Model!Y20=0,"",Model!Y20)</f>
        <v>482353.29</v>
      </c>
      <c r="AB14" s="204" t="n">
        <f aca="false">IF(Model!Z20=0,"",Model!Z20)</f>
        <v>385471.66</v>
      </c>
      <c r="AC14" s="204" t="n">
        <f aca="false">IF(Model!AA20=0,"",Model!AA20)</f>
        <v>208695.5</v>
      </c>
      <c r="AD14" s="204" t="str">
        <f aca="false">IF(Model!AB20=0,"",Model!AB20)</f>
        <v/>
      </c>
      <c r="AE14" s="204" t="str">
        <f aca="false">IF(Model!AC20=0,"",Model!AC20)</f>
        <v/>
      </c>
      <c r="AF14" s="204" t="str">
        <f aca="false">IF(Model!AD20=0,"",Model!AD20)</f>
        <v/>
      </c>
      <c r="AG14" s="204" t="str">
        <f aca="false">IF(Model!AE20=0,"",Model!AE20)</f>
        <v/>
      </c>
      <c r="AH14" s="204" t="str">
        <f aca="false">IF(Model!AF20=0,"",Model!AF20)</f>
        <v/>
      </c>
      <c r="AI14" s="204" t="str">
        <f aca="false">IF(Model!AG20=0,"",Model!AG20)</f>
        <v/>
      </c>
      <c r="AJ14" s="204" t="str">
        <f aca="false">IF(Model!AH20=0,"",Model!AH20)</f>
        <v/>
      </c>
      <c r="AK14" s="204" t="str">
        <f aca="false">IF(Model!AI20=0,"",Model!AI20)</f>
        <v/>
      </c>
      <c r="AL14" s="204" t="str">
        <f aca="false">IF(Model!AJ20=0,"",Model!AJ20)</f>
        <v/>
      </c>
      <c r="AM14" s="204" t="str">
        <f aca="false">IF(Model!AK20=0,"",Model!AK20)</f>
        <v/>
      </c>
      <c r="AN14" s="204" t="str">
        <f aca="false">IF(Model!AL20=0,"",Model!AL20)</f>
        <v/>
      </c>
      <c r="AO14" s="204" t="str">
        <f aca="false">IF(Model!AM20=0,"",Model!AM20)</f>
        <v/>
      </c>
      <c r="AP14" s="204" t="str">
        <f aca="false">IF(Model!AN20=0,"",Model!AN20)</f>
        <v/>
      </c>
      <c r="AQ14" s="204" t="str">
        <f aca="false">IF(Model!AO20=0,"",Model!AO20)</f>
        <v/>
      </c>
      <c r="AR14" s="204" t="str">
        <f aca="false">IF(Model!AP20=0,"",Model!AP20)</f>
        <v/>
      </c>
      <c r="AS14" s="204" t="str">
        <f aca="false">IF(Model!AQ20=0,"",Model!AQ20)</f>
        <v/>
      </c>
      <c r="AT14" s="204" t="str">
        <f aca="false">IF(Model!AR20=0,"",Model!AR20)</f>
        <v/>
      </c>
      <c r="AU14" s="204" t="str">
        <f aca="false">IF(Model!AS20=0,"",Model!AS20)</f>
        <v/>
      </c>
      <c r="AV14" s="204" t="str">
        <f aca="false">IF(Model!AT20=0,"",Model!AT20)</f>
        <v/>
      </c>
      <c r="AW14" s="204" t="str">
        <f aca="false">IF(Model!AU20=0,"",Model!AU20)</f>
        <v/>
      </c>
      <c r="AX14" s="204" t="str">
        <f aca="false">IF(Model!AV20=0,"",Model!AV20)</f>
        <v/>
      </c>
      <c r="AY14" s="204" t="str">
        <f aca="false">IF(Model!AW20=0,"",Model!AW20)</f>
        <v/>
      </c>
      <c r="AZ14" s="204" t="str">
        <f aca="false">IF(Model!AX20=0,"",Model!AX20)</f>
        <v/>
      </c>
      <c r="BA14" s="204" t="str">
        <f aca="false">IF(Model!AY20=0,"",Model!AY20)</f>
        <v/>
      </c>
      <c r="BB14" s="204" t="str">
        <f aca="false">IF(Model!AZ20=0,"",Model!AZ20)</f>
        <v/>
      </c>
      <c r="BC14" s="204" t="str">
        <f aca="false">IF(Model!BA20=0,"",Model!BA20)</f>
        <v/>
      </c>
      <c r="BD14" s="204" t="str">
        <f aca="false">IF(Model!BB20=0,"",Model!BB20)</f>
        <v/>
      </c>
      <c r="BE14" s="204" t="str">
        <f aca="false">IF(Model!BC20=0,"",Model!BC20)</f>
        <v/>
      </c>
      <c r="BF14" s="204" t="str">
        <f aca="false">IF(Model!BD20=0,"",Model!BD20)</f>
        <v/>
      </c>
      <c r="BG14" s="204" t="str">
        <f aca="false">IF(Model!BE20=0,"",Model!BE20)</f>
        <v/>
      </c>
      <c r="BH14" s="204" t="str">
        <f aca="false">IF(Model!BF20=0,"",Model!BF20)</f>
        <v/>
      </c>
      <c r="BI14" s="204" t="str">
        <f aca="false">IF(Model!BG20=0,"",Model!BG20)</f>
        <v/>
      </c>
      <c r="BJ14" s="204" t="str">
        <f aca="false">IF(Model!BH20=0,"",Model!BH20)</f>
        <v/>
      </c>
      <c r="BK14" s="204" t="str">
        <f aca="false">IF(Model!BI20=0,"",Model!BI20)</f>
        <v/>
      </c>
      <c r="BL14" s="204" t="str">
        <f aca="false">IF(Model!BJ20=0,"",Model!BJ20)</f>
        <v/>
      </c>
      <c r="BM14" s="204" t="str">
        <f aca="false">IF(Model!BK20=0,"",Model!BK20)</f>
        <v/>
      </c>
      <c r="BN14" s="204" t="str">
        <f aca="false">IF(Model!BL20=0,"",Model!BL20)</f>
        <v/>
      </c>
      <c r="BO14" s="204" t="str">
        <f aca="false">IF(Model!BM20=0,"",Model!BM20)</f>
        <v/>
      </c>
      <c r="BP14" s="204" t="str">
        <f aca="false">IF(Model!BN20=0,"",Model!BN20)</f>
        <v/>
      </c>
      <c r="BQ14" s="204" t="str">
        <f aca="false">IF(Model!BO20=0,"",Model!BO20)</f>
        <v/>
      </c>
      <c r="BR14" s="204" t="str">
        <f aca="false">IF(Model!BP20=0,"",Model!BP20)</f>
        <v/>
      </c>
      <c r="BS14" s="204" t="str">
        <f aca="false">IF(Model!BQ20=0,"",Model!BQ20)</f>
        <v/>
      </c>
      <c r="BT14" s="204" t="str">
        <f aca="false">IF(Model!BR20=0,"",Model!BR20)</f>
        <v/>
      </c>
      <c r="BU14" s="204" t="str">
        <f aca="false">IF(Model!BS20=0,"",Model!BS20)</f>
        <v/>
      </c>
      <c r="BV14" s="204" t="str">
        <f aca="false">IF(Model!BT20=0,"",Model!BT20)</f>
        <v/>
      </c>
      <c r="BW14" s="204" t="str">
        <f aca="false">IF(Model!BU20=0,"",Model!BU20)</f>
        <v/>
      </c>
      <c r="BX14" s="204" t="str">
        <f aca="false">IF(Model!BV20=0,"",Model!BV20)</f>
        <v/>
      </c>
      <c r="BY14" s="204" t="str">
        <f aca="false">IF(Model!BW20=0,"",Model!BW20)</f>
        <v/>
      </c>
      <c r="BZ14" s="204" t="str">
        <f aca="false">IF(Model!BX20=0,"",Model!BX20)</f>
        <v/>
      </c>
      <c r="CA14" s="204" t="str">
        <f aca="false">IF(Model!BY20=0,"",Model!BY20)</f>
        <v/>
      </c>
      <c r="CB14" s="204" t="str">
        <f aca="false">IF(Model!BZ20=0,"",Model!BZ20)</f>
        <v/>
      </c>
      <c r="CC14" s="204" t="str">
        <f aca="false">IF(Model!CA20=0,"",Model!CA20)</f>
        <v/>
      </c>
      <c r="CD14" s="204" t="str">
        <f aca="false">IF(Model!CB20=0,"",Model!CB20)</f>
        <v/>
      </c>
      <c r="CE14" s="204" t="str">
        <f aca="false">IF(Model!CC20=0,"",Model!CC20)</f>
        <v/>
      </c>
      <c r="CF14" s="204" t="str">
        <f aca="false">IF(Model!CD20=0,"",Model!CD20)</f>
        <v/>
      </c>
      <c r="CG14" s="204" t="str">
        <f aca="false">IF(Model!CE20=0,"",Model!CE20)</f>
        <v/>
      </c>
      <c r="CH14" s="204" t="str">
        <f aca="false">IF(Model!CF20=0,"",Model!CF20)</f>
        <v/>
      </c>
      <c r="CI14" s="204" t="str">
        <f aca="false">IF(Model!CG20=0,"",Model!CG20)</f>
        <v/>
      </c>
      <c r="CJ14" s="204" t="str">
        <f aca="false">IF(Model!CH20=0,"",Model!CH20)</f>
        <v/>
      </c>
      <c r="CK14" s="204" t="str">
        <f aca="false">IF(Model!CI20=0,"",Model!CI20)</f>
        <v/>
      </c>
      <c r="CL14" s="204" t="str">
        <f aca="false">IF(Model!CJ20=0,"",Model!CJ20)</f>
        <v/>
      </c>
      <c r="CM14" s="204" t="str">
        <f aca="false">IF(Model!CK20=0,"",Model!CK20)</f>
        <v/>
      </c>
      <c r="CN14" s="204" t="str">
        <f aca="false">IF(Model!CL20=0,"",Model!CL20)</f>
        <v/>
      </c>
      <c r="CO14" s="204" t="str">
        <f aca="false">IF(Model!CM20=0,"",Model!CM20)</f>
        <v/>
      </c>
      <c r="CP14" s="204" t="str">
        <f aca="false">IF(Model!CN20=0,"",Model!CN20)</f>
        <v/>
      </c>
      <c r="CQ14" s="204" t="str">
        <f aca="false">IF(Model!CO20=0,"",Model!CO20)</f>
        <v/>
      </c>
      <c r="CR14" s="204" t="str">
        <f aca="false">IF(Model!CP20=0,"",Model!CP20)</f>
        <v/>
      </c>
      <c r="CS14" s="204" t="str">
        <f aca="false">IF(Model!CQ20=0,"",Model!CQ20)</f>
        <v/>
      </c>
      <c r="CT14" s="204" t="str">
        <f aca="false">IF(Model!CR20=0,"",Model!CR20)</f>
        <v/>
      </c>
      <c r="CU14" s="204" t="str">
        <f aca="false">IF(Model!CS20=0,"",Model!CS20)</f>
        <v/>
      </c>
      <c r="CV14" s="204" t="str">
        <f aca="false">IF(Model!CT20=0,"",Model!CT20)</f>
        <v/>
      </c>
      <c r="CW14" s="204" t="str">
        <f aca="false">IF(Model!CU20=0,"",Model!CU20)</f>
        <v/>
      </c>
      <c r="CX14" s="204" t="str">
        <f aca="false">IF(Model!CV20=0,"",Model!CV20)</f>
        <v/>
      </c>
      <c r="CY14" s="204" t="str">
        <f aca="false">IF(Model!CW20=0,"",Model!CW20)</f>
        <v/>
      </c>
      <c r="CZ14" s="204" t="str">
        <f aca="false">IF(Model!CX20=0,"",Model!CX20)</f>
        <v/>
      </c>
      <c r="DA14" s="204" t="str">
        <f aca="false">IF(Model!CY20=0,"",Model!CY20)</f>
        <v/>
      </c>
      <c r="DB14" s="204" t="str">
        <f aca="false">IF(Model!CZ20=0,"",Model!CZ20)</f>
        <v/>
      </c>
    </row>
    <row r="15" customFormat="false" ht="15" hidden="false" customHeight="true" outlineLevel="0" collapsed="false">
      <c r="A15" s="123" t="s">
        <v>15</v>
      </c>
      <c r="B15" s="201" t="n">
        <f aca="false">Projects!$B$10</f>
        <v>22072845.45</v>
      </c>
      <c r="C15" s="202" t="n">
        <f aca="false">EDATE(Model!$E$2,Projects!$C$10-1)</f>
        <v>46539</v>
      </c>
      <c r="D15" s="202" t="n">
        <f aca="false">EDATE(Model!$E$2,Projects!$C$10+Projects!$D$10-2)</f>
        <v>47239</v>
      </c>
      <c r="E15" s="203" t="n">
        <f aca="false">Projects!$D$10</f>
        <v>24</v>
      </c>
      <c r="F15" s="201" t="n">
        <f aca="false">SUM(G15:DB15)</f>
        <v>19415473.5134291</v>
      </c>
      <c r="G15" s="204" t="str">
        <f aca="false">IF(Model!E21=0,"",Model!E21)</f>
        <v/>
      </c>
      <c r="H15" s="204" t="str">
        <f aca="false">IF(Model!F21=0,"",Model!F21)</f>
        <v/>
      </c>
      <c r="I15" s="204" t="str">
        <f aca="false">IF(Model!G21=0,"",Model!G21)</f>
        <v/>
      </c>
      <c r="J15" s="204" t="str">
        <f aca="false">IF(Model!H21=0,"",Model!H21)</f>
        <v/>
      </c>
      <c r="K15" s="204" t="str">
        <f aca="false">IF(Model!I21=0,"",Model!I21)</f>
        <v/>
      </c>
      <c r="L15" s="204" t="str">
        <f aca="false">IF(Model!J21=0,"",Model!J21)</f>
        <v/>
      </c>
      <c r="M15" s="204" t="str">
        <f aca="false">IF(Model!K21=0,"",Model!K21)</f>
        <v/>
      </c>
      <c r="N15" s="204" t="str">
        <f aca="false">IF(Model!L21=0,"",Model!L21)</f>
        <v/>
      </c>
      <c r="O15" s="204" t="str">
        <f aca="false">IF(Model!M21=0,"",Model!M21)</f>
        <v/>
      </c>
      <c r="P15" s="204" t="str">
        <f aca="false">IF(Model!N21=0,"",Model!N21)</f>
        <v/>
      </c>
      <c r="Q15" s="204" t="str">
        <f aca="false">IF(Model!O21=0,"",Model!O21)</f>
        <v/>
      </c>
      <c r="R15" s="204" t="str">
        <f aca="false">IF(Model!P21=0,"",Model!P21)</f>
        <v/>
      </c>
      <c r="S15" s="204" t="str">
        <f aca="false">IF(Model!Q21=0,"",Model!Q21)</f>
        <v/>
      </c>
      <c r="T15" s="204" t="str">
        <f aca="false">IF(Model!R21=0,"",Model!R21)</f>
        <v/>
      </c>
      <c r="U15" s="204" t="n">
        <f aca="false">IF(Model!S21=0,"",Model!S21)</f>
        <v>347239.474032717</v>
      </c>
      <c r="V15" s="204" t="n">
        <f aca="false">IF(Model!T21=0,"",Model!T21)</f>
        <v>431977.127715267</v>
      </c>
      <c r="W15" s="204" t="n">
        <f aca="false">IF(Model!U21=0,"",Model!U21)</f>
        <v>522674.449669317</v>
      </c>
      <c r="X15" s="204" t="n">
        <f aca="false">IF(Model!V21=0,"",Model!V21)</f>
        <v>617366.956649817</v>
      </c>
      <c r="Y15" s="204" t="n">
        <f aca="false">IF(Model!W21=0,"",Model!W21)</f>
        <v>713427.980048217</v>
      </c>
      <c r="Z15" s="204" t="n">
        <f aca="false">IF(Model!X21=0,"",Model!X21)</f>
        <v>807921.831419667</v>
      </c>
      <c r="AA15" s="204" t="n">
        <f aca="false">IF(Model!Y21=0,"",Model!Y21)</f>
        <v>897537.583946667</v>
      </c>
      <c r="AB15" s="204" t="n">
        <f aca="false">IF(Model!Z21=0,"",Model!Z21)</f>
        <v>978898.092275366</v>
      </c>
      <c r="AC15" s="204" t="n">
        <f aca="false">IF(Model!AA21=0,"",Model!AA21)</f>
        <v>1048736.57527917</v>
      </c>
      <c r="AD15" s="204" t="n">
        <f aca="false">IF(Model!AB21=0,"",Model!AB21)</f>
        <v>1104029.05313142</v>
      </c>
      <c r="AE15" s="204" t="n">
        <f aca="false">IF(Model!AC21=0,"",Model!AC21)</f>
        <v>1142369.58567807</v>
      </c>
      <c r="AF15" s="204" t="n">
        <f aca="false">IF(Model!AD21=0,"",Model!AD21)</f>
        <v>1161992.34528312</v>
      </c>
      <c r="AG15" s="204" t="n">
        <f aca="false">IF(Model!AE21=0,"",Model!AE21)</f>
        <v>1161992.34528312</v>
      </c>
      <c r="AH15" s="204" t="n">
        <f aca="false">IF(Model!AF21=0,"",Model!AF21)</f>
        <v>1142369.58567807</v>
      </c>
      <c r="AI15" s="204" t="n">
        <f aca="false">IF(Model!AG21=0,"",Model!AG21)</f>
        <v>1104029.05313142</v>
      </c>
      <c r="AJ15" s="204" t="n">
        <f aca="false">IF(Model!AH21=0,"",Model!AH21)</f>
        <v>1048736.57527917</v>
      </c>
      <c r="AK15" s="204" t="n">
        <f aca="false">IF(Model!AI21=0,"",Model!AI21)</f>
        <v>978898.092275366</v>
      </c>
      <c r="AL15" s="204" t="n">
        <f aca="false">IF(Model!AJ21=0,"",Model!AJ21)</f>
        <v>897537.583946667</v>
      </c>
      <c r="AM15" s="204" t="n">
        <f aca="false">IF(Model!AK21=0,"",Model!AK21)</f>
        <v>807921.831419667</v>
      </c>
      <c r="AN15" s="204" t="n">
        <f aca="false">IF(Model!AL21=0,"",Model!AL21)</f>
        <v>713427.980048217</v>
      </c>
      <c r="AO15" s="204" t="n">
        <f aca="false">IF(Model!AM21=0,"",Model!AM21)</f>
        <v>617366.956649817</v>
      </c>
      <c r="AP15" s="204" t="n">
        <f aca="false">IF(Model!AN21=0,"",Model!AN21)</f>
        <v>522674.449669317</v>
      </c>
      <c r="AQ15" s="204" t="n">
        <f aca="false">IF(Model!AO21=0,"",Model!AO21)</f>
        <v>431977.127715267</v>
      </c>
      <c r="AR15" s="204" t="n">
        <f aca="false">IF(Model!AP21=0,"",Model!AP21)</f>
        <v>214370.877204169</v>
      </c>
      <c r="AS15" s="204" t="str">
        <f aca="false">IF(Model!AQ21=0,"",Model!AQ21)</f>
        <v/>
      </c>
      <c r="AT15" s="204" t="str">
        <f aca="false">IF(Model!AR21=0,"",Model!AR21)</f>
        <v/>
      </c>
      <c r="AU15" s="204" t="str">
        <f aca="false">IF(Model!AS21=0,"",Model!AS21)</f>
        <v/>
      </c>
      <c r="AV15" s="204" t="str">
        <f aca="false">IF(Model!AT21=0,"",Model!AT21)</f>
        <v/>
      </c>
      <c r="AW15" s="204" t="str">
        <f aca="false">IF(Model!AU21=0,"",Model!AU21)</f>
        <v/>
      </c>
      <c r="AX15" s="204" t="str">
        <f aca="false">IF(Model!AV21=0,"",Model!AV21)</f>
        <v/>
      </c>
      <c r="AY15" s="204" t="str">
        <f aca="false">IF(Model!AW21=0,"",Model!AW21)</f>
        <v/>
      </c>
      <c r="AZ15" s="204" t="str">
        <f aca="false">IF(Model!AX21=0,"",Model!AX21)</f>
        <v/>
      </c>
      <c r="BA15" s="204" t="str">
        <f aca="false">IF(Model!AY21=0,"",Model!AY21)</f>
        <v/>
      </c>
      <c r="BB15" s="204" t="str">
        <f aca="false">IF(Model!AZ21=0,"",Model!AZ21)</f>
        <v/>
      </c>
      <c r="BC15" s="204" t="str">
        <f aca="false">IF(Model!BA21=0,"",Model!BA21)</f>
        <v/>
      </c>
      <c r="BD15" s="204" t="str">
        <f aca="false">IF(Model!BB21=0,"",Model!BB21)</f>
        <v/>
      </c>
      <c r="BE15" s="204" t="str">
        <f aca="false">IF(Model!BC21=0,"",Model!BC21)</f>
        <v/>
      </c>
      <c r="BF15" s="204" t="str">
        <f aca="false">IF(Model!BD21=0,"",Model!BD21)</f>
        <v/>
      </c>
      <c r="BG15" s="204" t="str">
        <f aca="false">IF(Model!BE21=0,"",Model!BE21)</f>
        <v/>
      </c>
      <c r="BH15" s="204" t="str">
        <f aca="false">IF(Model!BF21=0,"",Model!BF21)</f>
        <v/>
      </c>
      <c r="BI15" s="204" t="str">
        <f aca="false">IF(Model!BG21=0,"",Model!BG21)</f>
        <v/>
      </c>
      <c r="BJ15" s="204" t="str">
        <f aca="false">IF(Model!BH21=0,"",Model!BH21)</f>
        <v/>
      </c>
      <c r="BK15" s="204" t="str">
        <f aca="false">IF(Model!BI21=0,"",Model!BI21)</f>
        <v/>
      </c>
      <c r="BL15" s="204" t="str">
        <f aca="false">IF(Model!BJ21=0,"",Model!BJ21)</f>
        <v/>
      </c>
      <c r="BM15" s="204" t="str">
        <f aca="false">IF(Model!BK21=0,"",Model!BK21)</f>
        <v/>
      </c>
      <c r="BN15" s="204" t="str">
        <f aca="false">IF(Model!BL21=0,"",Model!BL21)</f>
        <v/>
      </c>
      <c r="BO15" s="204" t="str">
        <f aca="false">IF(Model!BM21=0,"",Model!BM21)</f>
        <v/>
      </c>
      <c r="BP15" s="204" t="str">
        <f aca="false">IF(Model!BN21=0,"",Model!BN21)</f>
        <v/>
      </c>
      <c r="BQ15" s="204" t="str">
        <f aca="false">IF(Model!BO21=0,"",Model!BO21)</f>
        <v/>
      </c>
      <c r="BR15" s="204" t="str">
        <f aca="false">IF(Model!BP21=0,"",Model!BP21)</f>
        <v/>
      </c>
      <c r="BS15" s="204" t="str">
        <f aca="false">IF(Model!BQ21=0,"",Model!BQ21)</f>
        <v/>
      </c>
      <c r="BT15" s="204" t="str">
        <f aca="false">IF(Model!BR21=0,"",Model!BR21)</f>
        <v/>
      </c>
      <c r="BU15" s="204" t="str">
        <f aca="false">IF(Model!BS21=0,"",Model!BS21)</f>
        <v/>
      </c>
      <c r="BV15" s="204" t="str">
        <f aca="false">IF(Model!BT21=0,"",Model!BT21)</f>
        <v/>
      </c>
      <c r="BW15" s="204" t="str">
        <f aca="false">IF(Model!BU21=0,"",Model!BU21)</f>
        <v/>
      </c>
      <c r="BX15" s="204" t="str">
        <f aca="false">IF(Model!BV21=0,"",Model!BV21)</f>
        <v/>
      </c>
      <c r="BY15" s="204" t="str">
        <f aca="false">IF(Model!BW21=0,"",Model!BW21)</f>
        <v/>
      </c>
      <c r="BZ15" s="204" t="str">
        <f aca="false">IF(Model!BX21=0,"",Model!BX21)</f>
        <v/>
      </c>
      <c r="CA15" s="204" t="str">
        <f aca="false">IF(Model!BY21=0,"",Model!BY21)</f>
        <v/>
      </c>
      <c r="CB15" s="204" t="str">
        <f aca="false">IF(Model!BZ21=0,"",Model!BZ21)</f>
        <v/>
      </c>
      <c r="CC15" s="204" t="str">
        <f aca="false">IF(Model!CA21=0,"",Model!CA21)</f>
        <v/>
      </c>
      <c r="CD15" s="204" t="str">
        <f aca="false">IF(Model!CB21=0,"",Model!CB21)</f>
        <v/>
      </c>
      <c r="CE15" s="204" t="str">
        <f aca="false">IF(Model!CC21=0,"",Model!CC21)</f>
        <v/>
      </c>
      <c r="CF15" s="204" t="str">
        <f aca="false">IF(Model!CD21=0,"",Model!CD21)</f>
        <v/>
      </c>
      <c r="CG15" s="204" t="str">
        <f aca="false">IF(Model!CE21=0,"",Model!CE21)</f>
        <v/>
      </c>
      <c r="CH15" s="204" t="str">
        <f aca="false">IF(Model!CF21=0,"",Model!CF21)</f>
        <v/>
      </c>
      <c r="CI15" s="204" t="str">
        <f aca="false">IF(Model!CG21=0,"",Model!CG21)</f>
        <v/>
      </c>
      <c r="CJ15" s="204" t="str">
        <f aca="false">IF(Model!CH21=0,"",Model!CH21)</f>
        <v/>
      </c>
      <c r="CK15" s="204" t="str">
        <f aca="false">IF(Model!CI21=0,"",Model!CI21)</f>
        <v/>
      </c>
      <c r="CL15" s="204" t="str">
        <f aca="false">IF(Model!CJ21=0,"",Model!CJ21)</f>
        <v/>
      </c>
      <c r="CM15" s="204" t="str">
        <f aca="false">IF(Model!CK21=0,"",Model!CK21)</f>
        <v/>
      </c>
      <c r="CN15" s="204" t="str">
        <f aca="false">IF(Model!CL21=0,"",Model!CL21)</f>
        <v/>
      </c>
      <c r="CO15" s="204" t="str">
        <f aca="false">IF(Model!CM21=0,"",Model!CM21)</f>
        <v/>
      </c>
      <c r="CP15" s="204" t="str">
        <f aca="false">IF(Model!CN21=0,"",Model!CN21)</f>
        <v/>
      </c>
      <c r="CQ15" s="204" t="str">
        <f aca="false">IF(Model!CO21=0,"",Model!CO21)</f>
        <v/>
      </c>
      <c r="CR15" s="204" t="str">
        <f aca="false">IF(Model!CP21=0,"",Model!CP21)</f>
        <v/>
      </c>
      <c r="CS15" s="204" t="str">
        <f aca="false">IF(Model!CQ21=0,"",Model!CQ21)</f>
        <v/>
      </c>
      <c r="CT15" s="204" t="str">
        <f aca="false">IF(Model!CR21=0,"",Model!CR21)</f>
        <v/>
      </c>
      <c r="CU15" s="204" t="str">
        <f aca="false">IF(Model!CS21=0,"",Model!CS21)</f>
        <v/>
      </c>
      <c r="CV15" s="204" t="str">
        <f aca="false">IF(Model!CT21=0,"",Model!CT21)</f>
        <v/>
      </c>
      <c r="CW15" s="204" t="str">
        <f aca="false">IF(Model!CU21=0,"",Model!CU21)</f>
        <v/>
      </c>
      <c r="CX15" s="204" t="str">
        <f aca="false">IF(Model!CV21=0,"",Model!CV21)</f>
        <v/>
      </c>
      <c r="CY15" s="204" t="str">
        <f aca="false">IF(Model!CW21=0,"",Model!CW21)</f>
        <v/>
      </c>
      <c r="CZ15" s="204" t="str">
        <f aca="false">IF(Model!CX21=0,"",Model!CX21)</f>
        <v/>
      </c>
      <c r="DA15" s="204" t="str">
        <f aca="false">IF(Model!CY21=0,"",Model!CY21)</f>
        <v/>
      </c>
      <c r="DB15" s="204" t="str">
        <f aca="false">IF(Model!CZ21=0,"",Model!CZ21)</f>
        <v/>
      </c>
    </row>
    <row r="16" customFormat="false" ht="15" hidden="false" customHeight="true" outlineLevel="0" collapsed="false">
      <c r="A16" s="123" t="s">
        <v>18</v>
      </c>
      <c r="B16" s="201" t="n">
        <f aca="false">Projects!$B$13</f>
        <v>45266770</v>
      </c>
      <c r="C16" s="202" t="n">
        <f aca="false">EDATE(Model!$E$2,Projects!$C$13-1)</f>
        <v>46539</v>
      </c>
      <c r="D16" s="202" t="n">
        <f aca="false">EDATE(Model!$E$2,Projects!$C$13+Projects!$D$13-2)</f>
        <v>47423</v>
      </c>
      <c r="E16" s="203" t="n">
        <f aca="false">Projects!$D$13</f>
        <v>30</v>
      </c>
      <c r="F16" s="201" t="n">
        <f aca="false">SUM(G16:DB16)</f>
        <v>39817239.36001</v>
      </c>
      <c r="G16" s="204" t="str">
        <f aca="false">IF(Model!E24=0,"",Model!E24)</f>
        <v/>
      </c>
      <c r="H16" s="204" t="str">
        <f aca="false">IF(Model!F24=0,"",Model!F24)</f>
        <v/>
      </c>
      <c r="I16" s="204" t="str">
        <f aca="false">IF(Model!G24=0,"",Model!G24)</f>
        <v/>
      </c>
      <c r="J16" s="204" t="str">
        <f aca="false">IF(Model!H24=0,"",Model!H24)</f>
        <v/>
      </c>
      <c r="K16" s="204" t="str">
        <f aca="false">IF(Model!I24=0,"",Model!I24)</f>
        <v/>
      </c>
      <c r="L16" s="204" t="str">
        <f aca="false">IF(Model!J24=0,"",Model!J24)</f>
        <v/>
      </c>
      <c r="M16" s="204" t="str">
        <f aca="false">IF(Model!K24=0,"",Model!K24)</f>
        <v/>
      </c>
      <c r="N16" s="204" t="str">
        <f aca="false">IF(Model!L24=0,"",Model!L24)</f>
        <v/>
      </c>
      <c r="O16" s="204" t="str">
        <f aca="false">IF(Model!M24=0,"",Model!M24)</f>
        <v/>
      </c>
      <c r="P16" s="204" t="str">
        <f aca="false">IF(Model!N24=0,"",Model!N24)</f>
        <v/>
      </c>
      <c r="Q16" s="204" t="str">
        <f aca="false">IF(Model!O24=0,"",Model!O24)</f>
        <v/>
      </c>
      <c r="R16" s="204" t="str">
        <f aca="false">IF(Model!P24=0,"",Model!P24)</f>
        <v/>
      </c>
      <c r="S16" s="204" t="str">
        <f aca="false">IF(Model!Q24=0,"",Model!Q24)</f>
        <v/>
      </c>
      <c r="T16" s="204" t="str">
        <f aca="false">IF(Model!R24=0,"",Model!R24)</f>
        <v/>
      </c>
      <c r="U16" s="204" t="n">
        <f aca="false">IF(Model!S24=0,"",Model!S24)</f>
        <v>556266.059712783</v>
      </c>
      <c r="V16" s="204" t="n">
        <f aca="false">IF(Model!T24=0,"",Model!T24)</f>
        <v>665675.842802783</v>
      </c>
      <c r="W16" s="204" t="n">
        <f aca="false">IF(Model!U24=0,"",Model!U24)</f>
        <v>781966.174932784</v>
      </c>
      <c r="X16" s="204" t="n">
        <f aca="false">IF(Model!V24=0,"",Model!V24)</f>
        <v>903552.719152783</v>
      </c>
      <c r="Y16" s="204" t="n">
        <f aca="false">IF(Model!W24=0,"",Model!W24)</f>
        <v>1028579.53789278</v>
      </c>
      <c r="Z16" s="204" t="n">
        <f aca="false">IF(Model!X24=0,"",Model!X24)</f>
        <v>1154783.29265278</v>
      </c>
      <c r="AA16" s="204" t="n">
        <f aca="false">IF(Model!Y24=0,"",Model!Y24)</f>
        <v>1279674.31108278</v>
      </c>
      <c r="AB16" s="204" t="n">
        <f aca="false">IF(Model!Z24=0,"",Model!Z24)</f>
        <v>1400536.58698278</v>
      </c>
      <c r="AC16" s="204" t="n">
        <f aca="false">IF(Model!AA24=0,"",Model!AA24)</f>
        <v>1514473.04707278</v>
      </c>
      <c r="AD16" s="204" t="n">
        <f aca="false">IF(Model!AB24=0,"",Model!AB24)</f>
        <v>1618722.41838278</v>
      </c>
      <c r="AE16" s="204" t="n">
        <f aca="false">IF(Model!AC24=0,"",Model!AC24)</f>
        <v>1710478.16117278</v>
      </c>
      <c r="AF16" s="204" t="n">
        <f aca="false">IF(Model!AD24=0,"",Model!AD24)</f>
        <v>1787250.60309278</v>
      </c>
      <c r="AG16" s="204" t="n">
        <f aca="false">IF(Model!AE24=0,"",Model!AE24)</f>
        <v>1846912.20595278</v>
      </c>
      <c r="AH16" s="204" t="n">
        <f aca="false">IF(Model!AF24=0,"",Model!AF24)</f>
        <v>1887652.29895278</v>
      </c>
      <c r="AI16" s="204" t="n">
        <f aca="false">IF(Model!AG24=0,"",Model!AG24)</f>
        <v>1908339.21284278</v>
      </c>
      <c r="AJ16" s="204" t="n">
        <f aca="false">IF(Model!AH24=0,"",Model!AH24)</f>
        <v>1908339.21284278</v>
      </c>
      <c r="AK16" s="204" t="n">
        <f aca="false">IF(Model!AI24=0,"",Model!AI24)</f>
        <v>1887652.29895278</v>
      </c>
      <c r="AL16" s="204" t="n">
        <f aca="false">IF(Model!AJ24=0,"",Model!AJ24)</f>
        <v>1846912.20595278</v>
      </c>
      <c r="AM16" s="204" t="n">
        <f aca="false">IF(Model!AK24=0,"",Model!AK24)</f>
        <v>1787250.60309278</v>
      </c>
      <c r="AN16" s="204" t="n">
        <f aca="false">IF(Model!AL24=0,"",Model!AL24)</f>
        <v>1710478.16117278</v>
      </c>
      <c r="AO16" s="204" t="n">
        <f aca="false">IF(Model!AM24=0,"",Model!AM24)</f>
        <v>1618722.41838278</v>
      </c>
      <c r="AP16" s="204" t="n">
        <f aca="false">IF(Model!AN24=0,"",Model!AN24)</f>
        <v>1514473.04707278</v>
      </c>
      <c r="AQ16" s="204" t="n">
        <f aca="false">IF(Model!AO24=0,"",Model!AO24)</f>
        <v>1400536.58698278</v>
      </c>
      <c r="AR16" s="204" t="n">
        <f aca="false">IF(Model!AP24=0,"",Model!AP24)</f>
        <v>1279674.31108278</v>
      </c>
      <c r="AS16" s="204" t="n">
        <f aca="false">IF(Model!AQ24=0,"",Model!AQ24)</f>
        <v>1154783.29265278</v>
      </c>
      <c r="AT16" s="204" t="n">
        <f aca="false">IF(Model!AR24=0,"",Model!AR24)</f>
        <v>1028579.53789278</v>
      </c>
      <c r="AU16" s="204" t="n">
        <f aca="false">IF(Model!AS24=0,"",Model!AS24)</f>
        <v>903552.719152783</v>
      </c>
      <c r="AV16" s="204" t="n">
        <f aca="false">IF(Model!AT24=0,"",Model!AT24)</f>
        <v>781966.174932784</v>
      </c>
      <c r="AW16" s="204" t="n">
        <f aca="false">IF(Model!AU24=0,"",Model!AU24)</f>
        <v>665675.842802783</v>
      </c>
      <c r="AX16" s="204" t="n">
        <f aca="false">IF(Model!AV24=0,"",Model!AV24)</f>
        <v>283780.474359283</v>
      </c>
      <c r="AY16" s="204" t="str">
        <f aca="false">IF(Model!AW24=0,"",Model!AW24)</f>
        <v/>
      </c>
      <c r="AZ16" s="204" t="str">
        <f aca="false">IF(Model!AX24=0,"",Model!AX24)</f>
        <v/>
      </c>
      <c r="BA16" s="204" t="str">
        <f aca="false">IF(Model!AY24=0,"",Model!AY24)</f>
        <v/>
      </c>
      <c r="BB16" s="204" t="str">
        <f aca="false">IF(Model!AZ24=0,"",Model!AZ24)</f>
        <v/>
      </c>
      <c r="BC16" s="204" t="str">
        <f aca="false">IF(Model!BA24=0,"",Model!BA24)</f>
        <v/>
      </c>
      <c r="BD16" s="204" t="str">
        <f aca="false">IF(Model!BB24=0,"",Model!BB24)</f>
        <v/>
      </c>
      <c r="BE16" s="204" t="str">
        <f aca="false">IF(Model!BC24=0,"",Model!BC24)</f>
        <v/>
      </c>
      <c r="BF16" s="204" t="str">
        <f aca="false">IF(Model!BD24=0,"",Model!BD24)</f>
        <v/>
      </c>
      <c r="BG16" s="204" t="str">
        <f aca="false">IF(Model!BE24=0,"",Model!BE24)</f>
        <v/>
      </c>
      <c r="BH16" s="204" t="str">
        <f aca="false">IF(Model!BF24=0,"",Model!BF24)</f>
        <v/>
      </c>
      <c r="BI16" s="204" t="str">
        <f aca="false">IF(Model!BG24=0,"",Model!BG24)</f>
        <v/>
      </c>
      <c r="BJ16" s="204" t="str">
        <f aca="false">IF(Model!BH24=0,"",Model!BH24)</f>
        <v/>
      </c>
      <c r="BK16" s="204" t="str">
        <f aca="false">IF(Model!BI24=0,"",Model!BI24)</f>
        <v/>
      </c>
      <c r="BL16" s="204" t="str">
        <f aca="false">IF(Model!BJ24=0,"",Model!BJ24)</f>
        <v/>
      </c>
      <c r="BM16" s="204" t="str">
        <f aca="false">IF(Model!BK24=0,"",Model!BK24)</f>
        <v/>
      </c>
      <c r="BN16" s="204" t="str">
        <f aca="false">IF(Model!BL24=0,"",Model!BL24)</f>
        <v/>
      </c>
      <c r="BO16" s="204" t="str">
        <f aca="false">IF(Model!BM24=0,"",Model!BM24)</f>
        <v/>
      </c>
      <c r="BP16" s="204" t="str">
        <f aca="false">IF(Model!BN24=0,"",Model!BN24)</f>
        <v/>
      </c>
      <c r="BQ16" s="204" t="str">
        <f aca="false">IF(Model!BO24=0,"",Model!BO24)</f>
        <v/>
      </c>
      <c r="BR16" s="204" t="str">
        <f aca="false">IF(Model!BP24=0,"",Model!BP24)</f>
        <v/>
      </c>
      <c r="BS16" s="204" t="str">
        <f aca="false">IF(Model!BQ24=0,"",Model!BQ24)</f>
        <v/>
      </c>
      <c r="BT16" s="204" t="str">
        <f aca="false">IF(Model!BR24=0,"",Model!BR24)</f>
        <v/>
      </c>
      <c r="BU16" s="204" t="str">
        <f aca="false">IF(Model!BS24=0,"",Model!BS24)</f>
        <v/>
      </c>
      <c r="BV16" s="204" t="str">
        <f aca="false">IF(Model!BT24=0,"",Model!BT24)</f>
        <v/>
      </c>
      <c r="BW16" s="204" t="str">
        <f aca="false">IF(Model!BU24=0,"",Model!BU24)</f>
        <v/>
      </c>
      <c r="BX16" s="204" t="str">
        <f aca="false">IF(Model!BV24=0,"",Model!BV24)</f>
        <v/>
      </c>
      <c r="BY16" s="204" t="str">
        <f aca="false">IF(Model!BW24=0,"",Model!BW24)</f>
        <v/>
      </c>
      <c r="BZ16" s="204" t="str">
        <f aca="false">IF(Model!BX24=0,"",Model!BX24)</f>
        <v/>
      </c>
      <c r="CA16" s="204" t="str">
        <f aca="false">IF(Model!BY24=0,"",Model!BY24)</f>
        <v/>
      </c>
      <c r="CB16" s="204" t="str">
        <f aca="false">IF(Model!BZ24=0,"",Model!BZ24)</f>
        <v/>
      </c>
      <c r="CC16" s="204" t="str">
        <f aca="false">IF(Model!CA24=0,"",Model!CA24)</f>
        <v/>
      </c>
      <c r="CD16" s="204" t="str">
        <f aca="false">IF(Model!CB24=0,"",Model!CB24)</f>
        <v/>
      </c>
      <c r="CE16" s="204" t="str">
        <f aca="false">IF(Model!CC24=0,"",Model!CC24)</f>
        <v/>
      </c>
      <c r="CF16" s="204" t="str">
        <f aca="false">IF(Model!CD24=0,"",Model!CD24)</f>
        <v/>
      </c>
      <c r="CG16" s="204" t="str">
        <f aca="false">IF(Model!CE24=0,"",Model!CE24)</f>
        <v/>
      </c>
      <c r="CH16" s="204" t="str">
        <f aca="false">IF(Model!CF24=0,"",Model!CF24)</f>
        <v/>
      </c>
      <c r="CI16" s="204" t="str">
        <f aca="false">IF(Model!CG24=0,"",Model!CG24)</f>
        <v/>
      </c>
      <c r="CJ16" s="204" t="str">
        <f aca="false">IF(Model!CH24=0,"",Model!CH24)</f>
        <v/>
      </c>
      <c r="CK16" s="204" t="str">
        <f aca="false">IF(Model!CI24=0,"",Model!CI24)</f>
        <v/>
      </c>
      <c r="CL16" s="204" t="str">
        <f aca="false">IF(Model!CJ24=0,"",Model!CJ24)</f>
        <v/>
      </c>
      <c r="CM16" s="204" t="str">
        <f aca="false">IF(Model!CK24=0,"",Model!CK24)</f>
        <v/>
      </c>
      <c r="CN16" s="204" t="str">
        <f aca="false">IF(Model!CL24=0,"",Model!CL24)</f>
        <v/>
      </c>
      <c r="CO16" s="204" t="str">
        <f aca="false">IF(Model!CM24=0,"",Model!CM24)</f>
        <v/>
      </c>
      <c r="CP16" s="204" t="str">
        <f aca="false">IF(Model!CN24=0,"",Model!CN24)</f>
        <v/>
      </c>
      <c r="CQ16" s="204" t="str">
        <f aca="false">IF(Model!CO24=0,"",Model!CO24)</f>
        <v/>
      </c>
      <c r="CR16" s="204" t="str">
        <f aca="false">IF(Model!CP24=0,"",Model!CP24)</f>
        <v/>
      </c>
      <c r="CS16" s="204" t="str">
        <f aca="false">IF(Model!CQ24=0,"",Model!CQ24)</f>
        <v/>
      </c>
      <c r="CT16" s="204" t="str">
        <f aca="false">IF(Model!CR24=0,"",Model!CR24)</f>
        <v/>
      </c>
      <c r="CU16" s="204" t="str">
        <f aca="false">IF(Model!CS24=0,"",Model!CS24)</f>
        <v/>
      </c>
      <c r="CV16" s="204" t="str">
        <f aca="false">IF(Model!CT24=0,"",Model!CT24)</f>
        <v/>
      </c>
      <c r="CW16" s="204" t="str">
        <f aca="false">IF(Model!CU24=0,"",Model!CU24)</f>
        <v/>
      </c>
      <c r="CX16" s="204" t="str">
        <f aca="false">IF(Model!CV24=0,"",Model!CV24)</f>
        <v/>
      </c>
      <c r="CY16" s="204" t="str">
        <f aca="false">IF(Model!CW24=0,"",Model!CW24)</f>
        <v/>
      </c>
      <c r="CZ16" s="204" t="str">
        <f aca="false">IF(Model!CX24=0,"",Model!CX24)</f>
        <v/>
      </c>
      <c r="DA16" s="204" t="str">
        <f aca="false">IF(Model!CY24=0,"",Model!CY24)</f>
        <v/>
      </c>
      <c r="DB16" s="204" t="str">
        <f aca="false">IF(Model!CZ24=0,"",Model!CZ24)</f>
        <v/>
      </c>
    </row>
    <row r="17" customFormat="false" ht="15" hidden="false" customHeight="true" outlineLevel="0" collapsed="false">
      <c r="A17" s="123" t="s">
        <v>19</v>
      </c>
      <c r="B17" s="201" t="n">
        <f aca="false">Projects!$B$14</f>
        <v>41354632</v>
      </c>
      <c r="C17" s="202" t="n">
        <f aca="false">EDATE(Model!$E$2,Projects!$C$14-1)</f>
        <v>46905</v>
      </c>
      <c r="D17" s="202" t="n">
        <f aca="false">EDATE(Model!$E$2,Projects!$C$14+Projects!$D$14-2)</f>
        <v>47788</v>
      </c>
      <c r="E17" s="203" t="n">
        <f aca="false">Projects!$D$14</f>
        <v>30</v>
      </c>
      <c r="F17" s="201" t="n">
        <f aca="false">SUM(G17:DB17)</f>
        <v>0</v>
      </c>
      <c r="G17" s="204" t="str">
        <f aca="false">IF(Model!E25=0,"",Model!E25)</f>
        <v/>
      </c>
      <c r="H17" s="204" t="str">
        <f aca="false">IF(Model!F25=0,"",Model!F25)</f>
        <v/>
      </c>
      <c r="I17" s="204" t="str">
        <f aca="false">IF(Model!G25=0,"",Model!G25)</f>
        <v/>
      </c>
      <c r="J17" s="204" t="str">
        <f aca="false">IF(Model!H25=0,"",Model!H25)</f>
        <v/>
      </c>
      <c r="K17" s="204" t="str">
        <f aca="false">IF(Model!I25=0,"",Model!I25)</f>
        <v/>
      </c>
      <c r="L17" s="204" t="str">
        <f aca="false">IF(Model!J25=0,"",Model!J25)</f>
        <v/>
      </c>
      <c r="M17" s="204" t="str">
        <f aca="false">IF(Model!K25=0,"",Model!K25)</f>
        <v/>
      </c>
      <c r="N17" s="204" t="str">
        <f aca="false">IF(Model!L25=0,"",Model!L25)</f>
        <v/>
      </c>
      <c r="O17" s="204" t="str">
        <f aca="false">IF(Model!M25=0,"",Model!M25)</f>
        <v/>
      </c>
      <c r="P17" s="204" t="str">
        <f aca="false">IF(Model!N25=0,"",Model!N25)</f>
        <v/>
      </c>
      <c r="Q17" s="204" t="str">
        <f aca="false">IF(Model!O25=0,"",Model!O25)</f>
        <v/>
      </c>
      <c r="R17" s="204" t="str">
        <f aca="false">IF(Model!P25=0,"",Model!P25)</f>
        <v/>
      </c>
      <c r="S17" s="204" t="str">
        <f aca="false">IF(Model!Q25=0,"",Model!Q25)</f>
        <v/>
      </c>
      <c r="T17" s="204" t="str">
        <f aca="false">IF(Model!R25=0,"",Model!R25)</f>
        <v/>
      </c>
      <c r="U17" s="204" t="str">
        <f aca="false">IF(Model!S25=0,"",Model!S25)</f>
        <v/>
      </c>
      <c r="V17" s="204" t="str">
        <f aca="false">IF(Model!T25=0,"",Model!T25)</f>
        <v/>
      </c>
      <c r="W17" s="204" t="str">
        <f aca="false">IF(Model!U25=0,"",Model!U25)</f>
        <v/>
      </c>
      <c r="X17" s="204" t="str">
        <f aca="false">IF(Model!V25=0,"",Model!V25)</f>
        <v/>
      </c>
      <c r="Y17" s="204" t="str">
        <f aca="false">IF(Model!W25=0,"",Model!W25)</f>
        <v/>
      </c>
      <c r="Z17" s="204" t="str">
        <f aca="false">IF(Model!X25=0,"",Model!X25)</f>
        <v/>
      </c>
      <c r="AA17" s="204" t="str">
        <f aca="false">IF(Model!Y25=0,"",Model!Y25)</f>
        <v/>
      </c>
      <c r="AB17" s="204" t="str">
        <f aca="false">IF(Model!Z25=0,"",Model!Z25)</f>
        <v/>
      </c>
      <c r="AC17" s="204" t="str">
        <f aca="false">IF(Model!AA25=0,"",Model!AA25)</f>
        <v/>
      </c>
      <c r="AD17" s="204" t="str">
        <f aca="false">IF(Model!AB25=0,"",Model!AB25)</f>
        <v/>
      </c>
      <c r="AE17" s="204" t="str">
        <f aca="false">IF(Model!AC25=0,"",Model!AC25)</f>
        <v/>
      </c>
      <c r="AF17" s="204" t="str">
        <f aca="false">IF(Model!AD25=0,"",Model!AD25)</f>
        <v/>
      </c>
      <c r="AG17" s="204" t="str">
        <f aca="false">IF(Model!AE25=0,"",Model!AE25)</f>
        <v/>
      </c>
      <c r="AH17" s="204" t="str">
        <f aca="false">IF(Model!AF25=0,"",Model!AF25)</f>
        <v/>
      </c>
      <c r="AI17" s="204" t="str">
        <f aca="false">IF(Model!AG25=0,"",Model!AG25)</f>
        <v/>
      </c>
      <c r="AJ17" s="204" t="str">
        <f aca="false">IF(Model!AH25=0,"",Model!AH25)</f>
        <v/>
      </c>
      <c r="AK17" s="204" t="str">
        <f aca="false">IF(Model!AI25=0,"",Model!AI25)</f>
        <v/>
      </c>
      <c r="AL17" s="204" t="str">
        <f aca="false">IF(Model!AJ25=0,"",Model!AJ25)</f>
        <v/>
      </c>
      <c r="AM17" s="204" t="str">
        <f aca="false">IF(Model!AK25=0,"",Model!AK25)</f>
        <v/>
      </c>
      <c r="AN17" s="204" t="str">
        <f aca="false">IF(Model!AL25=0,"",Model!AL25)</f>
        <v/>
      </c>
      <c r="AO17" s="204" t="str">
        <f aca="false">IF(Model!AM25=0,"",Model!AM25)</f>
        <v/>
      </c>
      <c r="AP17" s="204" t="str">
        <f aca="false">IF(Model!AN25=0,"",Model!AN25)</f>
        <v/>
      </c>
      <c r="AQ17" s="204" t="str">
        <f aca="false">IF(Model!AO25=0,"",Model!AO25)</f>
        <v/>
      </c>
      <c r="AR17" s="204" t="str">
        <f aca="false">IF(Model!AP25=0,"",Model!AP25)</f>
        <v/>
      </c>
      <c r="AS17" s="204" t="str">
        <f aca="false">IF(Model!AQ25=0,"",Model!AQ25)</f>
        <v/>
      </c>
      <c r="AT17" s="204" t="str">
        <f aca="false">IF(Model!AR25=0,"",Model!AR25)</f>
        <v/>
      </c>
      <c r="AU17" s="204" t="str">
        <f aca="false">IF(Model!AS25=0,"",Model!AS25)</f>
        <v/>
      </c>
      <c r="AV17" s="204" t="str">
        <f aca="false">IF(Model!AT25=0,"",Model!AT25)</f>
        <v/>
      </c>
      <c r="AW17" s="204" t="str">
        <f aca="false">IF(Model!AU25=0,"",Model!AU25)</f>
        <v/>
      </c>
      <c r="AX17" s="204" t="str">
        <f aca="false">IF(Model!AV25=0,"",Model!AV25)</f>
        <v/>
      </c>
      <c r="AY17" s="204" t="str">
        <f aca="false">IF(Model!AW25=0,"",Model!AW25)</f>
        <v/>
      </c>
      <c r="AZ17" s="204" t="str">
        <f aca="false">IF(Model!AX25=0,"",Model!AX25)</f>
        <v/>
      </c>
      <c r="BA17" s="204" t="str">
        <f aca="false">IF(Model!AY25=0,"",Model!AY25)</f>
        <v/>
      </c>
      <c r="BB17" s="204" t="str">
        <f aca="false">IF(Model!AZ25=0,"",Model!AZ25)</f>
        <v/>
      </c>
      <c r="BC17" s="204" t="str">
        <f aca="false">IF(Model!BA25=0,"",Model!BA25)</f>
        <v/>
      </c>
      <c r="BD17" s="204" t="str">
        <f aca="false">IF(Model!BB25=0,"",Model!BB25)</f>
        <v/>
      </c>
      <c r="BE17" s="204" t="str">
        <f aca="false">IF(Model!BC25=0,"",Model!BC25)</f>
        <v/>
      </c>
      <c r="BF17" s="204" t="str">
        <f aca="false">IF(Model!BD25=0,"",Model!BD25)</f>
        <v/>
      </c>
      <c r="BG17" s="204" t="str">
        <f aca="false">IF(Model!BE25=0,"",Model!BE25)</f>
        <v/>
      </c>
      <c r="BH17" s="204" t="str">
        <f aca="false">IF(Model!BF25=0,"",Model!BF25)</f>
        <v/>
      </c>
      <c r="BI17" s="204" t="str">
        <f aca="false">IF(Model!BG25=0,"",Model!BG25)</f>
        <v/>
      </c>
      <c r="BJ17" s="204" t="str">
        <f aca="false">IF(Model!BH25=0,"",Model!BH25)</f>
        <v/>
      </c>
      <c r="BK17" s="204" t="str">
        <f aca="false">IF(Model!BI25=0,"",Model!BI25)</f>
        <v/>
      </c>
      <c r="BL17" s="204" t="str">
        <f aca="false">IF(Model!BJ25=0,"",Model!BJ25)</f>
        <v/>
      </c>
      <c r="BM17" s="204" t="str">
        <f aca="false">IF(Model!BK25=0,"",Model!BK25)</f>
        <v/>
      </c>
      <c r="BN17" s="204" t="str">
        <f aca="false">IF(Model!BL25=0,"",Model!BL25)</f>
        <v/>
      </c>
      <c r="BO17" s="204" t="str">
        <f aca="false">IF(Model!BM25=0,"",Model!BM25)</f>
        <v/>
      </c>
      <c r="BP17" s="204" t="str">
        <f aca="false">IF(Model!BN25=0,"",Model!BN25)</f>
        <v/>
      </c>
      <c r="BQ17" s="204" t="str">
        <f aca="false">IF(Model!BO25=0,"",Model!BO25)</f>
        <v/>
      </c>
      <c r="BR17" s="204" t="str">
        <f aca="false">IF(Model!BP25=0,"",Model!BP25)</f>
        <v/>
      </c>
      <c r="BS17" s="204" t="str">
        <f aca="false">IF(Model!BQ25=0,"",Model!BQ25)</f>
        <v/>
      </c>
      <c r="BT17" s="204" t="str">
        <f aca="false">IF(Model!BR25=0,"",Model!BR25)</f>
        <v/>
      </c>
      <c r="BU17" s="204" t="str">
        <f aca="false">IF(Model!BS25=0,"",Model!BS25)</f>
        <v/>
      </c>
      <c r="BV17" s="204" t="str">
        <f aca="false">IF(Model!BT25=0,"",Model!BT25)</f>
        <v/>
      </c>
      <c r="BW17" s="204" t="str">
        <f aca="false">IF(Model!BU25=0,"",Model!BU25)</f>
        <v/>
      </c>
      <c r="BX17" s="204" t="str">
        <f aca="false">IF(Model!BV25=0,"",Model!BV25)</f>
        <v/>
      </c>
      <c r="BY17" s="204" t="str">
        <f aca="false">IF(Model!BW25=0,"",Model!BW25)</f>
        <v/>
      </c>
      <c r="BZ17" s="204" t="str">
        <f aca="false">IF(Model!BX25=0,"",Model!BX25)</f>
        <v/>
      </c>
      <c r="CA17" s="204" t="str">
        <f aca="false">IF(Model!BY25=0,"",Model!BY25)</f>
        <v/>
      </c>
      <c r="CB17" s="204" t="str">
        <f aca="false">IF(Model!BZ25=0,"",Model!BZ25)</f>
        <v/>
      </c>
      <c r="CC17" s="204" t="str">
        <f aca="false">IF(Model!CA25=0,"",Model!CA25)</f>
        <v/>
      </c>
      <c r="CD17" s="204" t="str">
        <f aca="false">IF(Model!CB25=0,"",Model!CB25)</f>
        <v/>
      </c>
      <c r="CE17" s="204" t="str">
        <f aca="false">IF(Model!CC25=0,"",Model!CC25)</f>
        <v/>
      </c>
      <c r="CF17" s="204" t="str">
        <f aca="false">IF(Model!CD25=0,"",Model!CD25)</f>
        <v/>
      </c>
      <c r="CG17" s="204" t="str">
        <f aca="false">IF(Model!CE25=0,"",Model!CE25)</f>
        <v/>
      </c>
      <c r="CH17" s="204" t="str">
        <f aca="false">IF(Model!CF25=0,"",Model!CF25)</f>
        <v/>
      </c>
      <c r="CI17" s="204" t="str">
        <f aca="false">IF(Model!CG25=0,"",Model!CG25)</f>
        <v/>
      </c>
      <c r="CJ17" s="204" t="str">
        <f aca="false">IF(Model!CH25=0,"",Model!CH25)</f>
        <v/>
      </c>
      <c r="CK17" s="204" t="str">
        <f aca="false">IF(Model!CI25=0,"",Model!CI25)</f>
        <v/>
      </c>
      <c r="CL17" s="204" t="str">
        <f aca="false">IF(Model!CJ25=0,"",Model!CJ25)</f>
        <v/>
      </c>
      <c r="CM17" s="204" t="str">
        <f aca="false">IF(Model!CK25=0,"",Model!CK25)</f>
        <v/>
      </c>
      <c r="CN17" s="204" t="str">
        <f aca="false">IF(Model!CL25=0,"",Model!CL25)</f>
        <v/>
      </c>
      <c r="CO17" s="204" t="str">
        <f aca="false">IF(Model!CM25=0,"",Model!CM25)</f>
        <v/>
      </c>
      <c r="CP17" s="204" t="str">
        <f aca="false">IF(Model!CN25=0,"",Model!CN25)</f>
        <v/>
      </c>
      <c r="CQ17" s="204" t="str">
        <f aca="false">IF(Model!CO25=0,"",Model!CO25)</f>
        <v/>
      </c>
      <c r="CR17" s="204" t="str">
        <f aca="false">IF(Model!CP25=0,"",Model!CP25)</f>
        <v/>
      </c>
      <c r="CS17" s="204" t="str">
        <f aca="false">IF(Model!CQ25=0,"",Model!CQ25)</f>
        <v/>
      </c>
      <c r="CT17" s="204" t="str">
        <f aca="false">IF(Model!CR25=0,"",Model!CR25)</f>
        <v/>
      </c>
      <c r="CU17" s="204" t="str">
        <f aca="false">IF(Model!CS25=0,"",Model!CS25)</f>
        <v/>
      </c>
      <c r="CV17" s="204" t="str">
        <f aca="false">IF(Model!CT25=0,"",Model!CT25)</f>
        <v/>
      </c>
      <c r="CW17" s="204" t="str">
        <f aca="false">IF(Model!CU25=0,"",Model!CU25)</f>
        <v/>
      </c>
      <c r="CX17" s="204" t="str">
        <f aca="false">IF(Model!CV25=0,"",Model!CV25)</f>
        <v/>
      </c>
      <c r="CY17" s="204" t="str">
        <f aca="false">IF(Model!CW25=0,"",Model!CW25)</f>
        <v/>
      </c>
      <c r="CZ17" s="204" t="str">
        <f aca="false">IF(Model!CX25=0,"",Model!CX25)</f>
        <v/>
      </c>
      <c r="DA17" s="204" t="str">
        <f aca="false">IF(Model!CY25=0,"",Model!CY25)</f>
        <v/>
      </c>
      <c r="DB17" s="204" t="str">
        <f aca="false">IF(Model!CZ25=0,"",Model!CZ25)</f>
        <v/>
      </c>
    </row>
    <row r="18" customFormat="false" ht="15" hidden="false" customHeight="true" outlineLevel="0" collapsed="false">
      <c r="A18" s="123" t="s">
        <v>20</v>
      </c>
      <c r="B18" s="201" t="n">
        <f aca="false">Projects!$B$17</f>
        <v>14219545</v>
      </c>
      <c r="C18" s="202" t="n">
        <f aca="false">EDATE(Model!$E$2,Projects!$C$17-1)</f>
        <v>46631</v>
      </c>
      <c r="D18" s="202" t="n">
        <f aca="false">EDATE(Model!$E$2,Projects!$C$17+Projects!$D$17-2)</f>
        <v>47178</v>
      </c>
      <c r="E18" s="203" t="n">
        <f aca="false">Projects!$D$17</f>
        <v>19</v>
      </c>
      <c r="F18" s="201" t="n">
        <f aca="false">SUM(G18:DB18)</f>
        <v>0</v>
      </c>
      <c r="G18" s="204" t="str">
        <f aca="false">IF(Model!E26=0,"",Model!E26)</f>
        <v/>
      </c>
      <c r="H18" s="204" t="str">
        <f aca="false">IF(Model!F26=0,"",Model!F26)</f>
        <v/>
      </c>
      <c r="I18" s="204" t="str">
        <f aca="false">IF(Model!G26=0,"",Model!G26)</f>
        <v/>
      </c>
      <c r="J18" s="204" t="str">
        <f aca="false">IF(Model!H26=0,"",Model!H26)</f>
        <v/>
      </c>
      <c r="K18" s="204" t="str">
        <f aca="false">IF(Model!I26=0,"",Model!I26)</f>
        <v/>
      </c>
      <c r="L18" s="204" t="str">
        <f aca="false">IF(Model!J26=0,"",Model!J26)</f>
        <v/>
      </c>
      <c r="M18" s="204" t="str">
        <f aca="false">IF(Model!K26=0,"",Model!K26)</f>
        <v/>
      </c>
      <c r="N18" s="204" t="str">
        <f aca="false">IF(Model!L26=0,"",Model!L26)</f>
        <v/>
      </c>
      <c r="O18" s="204" t="str">
        <f aca="false">IF(Model!M26=0,"",Model!M26)</f>
        <v/>
      </c>
      <c r="P18" s="204" t="str">
        <f aca="false">IF(Model!N26=0,"",Model!N26)</f>
        <v/>
      </c>
      <c r="Q18" s="204" t="str">
        <f aca="false">IF(Model!O26=0,"",Model!O26)</f>
        <v/>
      </c>
      <c r="R18" s="204" t="str">
        <f aca="false">IF(Model!P26=0,"",Model!P26)</f>
        <v/>
      </c>
      <c r="S18" s="204" t="str">
        <f aca="false">IF(Model!Q26=0,"",Model!Q26)</f>
        <v/>
      </c>
      <c r="T18" s="204" t="str">
        <f aca="false">IF(Model!R26=0,"",Model!R26)</f>
        <v/>
      </c>
      <c r="U18" s="204" t="str">
        <f aca="false">IF(Model!S26=0,"",Model!S26)</f>
        <v/>
      </c>
      <c r="V18" s="204" t="str">
        <f aca="false">IF(Model!T26=0,"",Model!T26)</f>
        <v/>
      </c>
      <c r="W18" s="204" t="str">
        <f aca="false">IF(Model!U26=0,"",Model!U26)</f>
        <v/>
      </c>
      <c r="X18" s="204" t="str">
        <f aca="false">IF(Model!V26=0,"",Model!V26)</f>
        <v/>
      </c>
      <c r="Y18" s="204" t="str">
        <f aca="false">IF(Model!W26=0,"",Model!W26)</f>
        <v/>
      </c>
      <c r="Z18" s="204" t="str">
        <f aca="false">IF(Model!X26=0,"",Model!X26)</f>
        <v/>
      </c>
      <c r="AA18" s="204" t="str">
        <f aca="false">IF(Model!Y26=0,"",Model!Y26)</f>
        <v/>
      </c>
      <c r="AB18" s="204" t="str">
        <f aca="false">IF(Model!Z26=0,"",Model!Z26)</f>
        <v/>
      </c>
      <c r="AC18" s="204" t="str">
        <f aca="false">IF(Model!AA26=0,"",Model!AA26)</f>
        <v/>
      </c>
      <c r="AD18" s="204" t="str">
        <f aca="false">IF(Model!AB26=0,"",Model!AB26)</f>
        <v/>
      </c>
      <c r="AE18" s="204" t="str">
        <f aca="false">IF(Model!AC26=0,"",Model!AC26)</f>
        <v/>
      </c>
      <c r="AF18" s="204" t="str">
        <f aca="false">IF(Model!AD26=0,"",Model!AD26)</f>
        <v/>
      </c>
      <c r="AG18" s="204" t="str">
        <f aca="false">IF(Model!AE26=0,"",Model!AE26)</f>
        <v/>
      </c>
      <c r="AH18" s="204" t="str">
        <f aca="false">IF(Model!AF26=0,"",Model!AF26)</f>
        <v/>
      </c>
      <c r="AI18" s="204" t="str">
        <f aca="false">IF(Model!AG26=0,"",Model!AG26)</f>
        <v/>
      </c>
      <c r="AJ18" s="204" t="str">
        <f aca="false">IF(Model!AH26=0,"",Model!AH26)</f>
        <v/>
      </c>
      <c r="AK18" s="204" t="str">
        <f aca="false">IF(Model!AI26=0,"",Model!AI26)</f>
        <v/>
      </c>
      <c r="AL18" s="204" t="str">
        <f aca="false">IF(Model!AJ26=0,"",Model!AJ26)</f>
        <v/>
      </c>
      <c r="AM18" s="204" t="str">
        <f aca="false">IF(Model!AK26=0,"",Model!AK26)</f>
        <v/>
      </c>
      <c r="AN18" s="204" t="str">
        <f aca="false">IF(Model!AL26=0,"",Model!AL26)</f>
        <v/>
      </c>
      <c r="AO18" s="204" t="str">
        <f aca="false">IF(Model!AM26=0,"",Model!AM26)</f>
        <v/>
      </c>
      <c r="AP18" s="204" t="str">
        <f aca="false">IF(Model!AN26=0,"",Model!AN26)</f>
        <v/>
      </c>
      <c r="AQ18" s="204" t="str">
        <f aca="false">IF(Model!AO26=0,"",Model!AO26)</f>
        <v/>
      </c>
      <c r="AR18" s="204" t="str">
        <f aca="false">IF(Model!AP26=0,"",Model!AP26)</f>
        <v/>
      </c>
      <c r="AS18" s="204" t="str">
        <f aca="false">IF(Model!AQ26=0,"",Model!AQ26)</f>
        <v/>
      </c>
      <c r="AT18" s="204" t="str">
        <f aca="false">IF(Model!AR26=0,"",Model!AR26)</f>
        <v/>
      </c>
      <c r="AU18" s="204" t="str">
        <f aca="false">IF(Model!AS26=0,"",Model!AS26)</f>
        <v/>
      </c>
      <c r="AV18" s="204" t="str">
        <f aca="false">IF(Model!AT26=0,"",Model!AT26)</f>
        <v/>
      </c>
      <c r="AW18" s="204" t="str">
        <f aca="false">IF(Model!AU26=0,"",Model!AU26)</f>
        <v/>
      </c>
      <c r="AX18" s="204" t="str">
        <f aca="false">IF(Model!AV26=0,"",Model!AV26)</f>
        <v/>
      </c>
      <c r="AY18" s="204" t="str">
        <f aca="false">IF(Model!AW26=0,"",Model!AW26)</f>
        <v/>
      </c>
      <c r="AZ18" s="204" t="str">
        <f aca="false">IF(Model!AX26=0,"",Model!AX26)</f>
        <v/>
      </c>
      <c r="BA18" s="204" t="str">
        <f aca="false">IF(Model!AY26=0,"",Model!AY26)</f>
        <v/>
      </c>
      <c r="BB18" s="204" t="str">
        <f aca="false">IF(Model!AZ26=0,"",Model!AZ26)</f>
        <v/>
      </c>
      <c r="BC18" s="204" t="str">
        <f aca="false">IF(Model!BA26=0,"",Model!BA26)</f>
        <v/>
      </c>
      <c r="BD18" s="204" t="str">
        <f aca="false">IF(Model!BB26=0,"",Model!BB26)</f>
        <v/>
      </c>
      <c r="BE18" s="204" t="str">
        <f aca="false">IF(Model!BC26=0,"",Model!BC26)</f>
        <v/>
      </c>
      <c r="BF18" s="204" t="str">
        <f aca="false">IF(Model!BD26=0,"",Model!BD26)</f>
        <v/>
      </c>
      <c r="BG18" s="204" t="str">
        <f aca="false">IF(Model!BE26=0,"",Model!BE26)</f>
        <v/>
      </c>
      <c r="BH18" s="204" t="str">
        <f aca="false">IF(Model!BF26=0,"",Model!BF26)</f>
        <v/>
      </c>
      <c r="BI18" s="204" t="str">
        <f aca="false">IF(Model!BG26=0,"",Model!BG26)</f>
        <v/>
      </c>
      <c r="BJ18" s="204" t="str">
        <f aca="false">IF(Model!BH26=0,"",Model!BH26)</f>
        <v/>
      </c>
      <c r="BK18" s="204" t="str">
        <f aca="false">IF(Model!BI26=0,"",Model!BI26)</f>
        <v/>
      </c>
      <c r="BL18" s="204" t="str">
        <f aca="false">IF(Model!BJ26=0,"",Model!BJ26)</f>
        <v/>
      </c>
      <c r="BM18" s="204" t="str">
        <f aca="false">IF(Model!BK26=0,"",Model!BK26)</f>
        <v/>
      </c>
      <c r="BN18" s="204" t="str">
        <f aca="false">IF(Model!BL26=0,"",Model!BL26)</f>
        <v/>
      </c>
      <c r="BO18" s="204" t="str">
        <f aca="false">IF(Model!BM26=0,"",Model!BM26)</f>
        <v/>
      </c>
      <c r="BP18" s="204" t="str">
        <f aca="false">IF(Model!BN26=0,"",Model!BN26)</f>
        <v/>
      </c>
      <c r="BQ18" s="204" t="str">
        <f aca="false">IF(Model!BO26=0,"",Model!BO26)</f>
        <v/>
      </c>
      <c r="BR18" s="204" t="str">
        <f aca="false">IF(Model!BP26=0,"",Model!BP26)</f>
        <v/>
      </c>
      <c r="BS18" s="204" t="str">
        <f aca="false">IF(Model!BQ26=0,"",Model!BQ26)</f>
        <v/>
      </c>
      <c r="BT18" s="204" t="str">
        <f aca="false">IF(Model!BR26=0,"",Model!BR26)</f>
        <v/>
      </c>
      <c r="BU18" s="204" t="str">
        <f aca="false">IF(Model!BS26=0,"",Model!BS26)</f>
        <v/>
      </c>
      <c r="BV18" s="204" t="str">
        <f aca="false">IF(Model!BT26=0,"",Model!BT26)</f>
        <v/>
      </c>
      <c r="BW18" s="204" t="str">
        <f aca="false">IF(Model!BU26=0,"",Model!BU26)</f>
        <v/>
      </c>
      <c r="BX18" s="204" t="str">
        <f aca="false">IF(Model!BV26=0,"",Model!BV26)</f>
        <v/>
      </c>
      <c r="BY18" s="204" t="str">
        <f aca="false">IF(Model!BW26=0,"",Model!BW26)</f>
        <v/>
      </c>
      <c r="BZ18" s="204" t="str">
        <f aca="false">IF(Model!BX26=0,"",Model!BX26)</f>
        <v/>
      </c>
      <c r="CA18" s="204" t="str">
        <f aca="false">IF(Model!BY26=0,"",Model!BY26)</f>
        <v/>
      </c>
      <c r="CB18" s="204" t="str">
        <f aca="false">IF(Model!BZ26=0,"",Model!BZ26)</f>
        <v/>
      </c>
      <c r="CC18" s="204" t="str">
        <f aca="false">IF(Model!CA26=0,"",Model!CA26)</f>
        <v/>
      </c>
      <c r="CD18" s="204" t="str">
        <f aca="false">IF(Model!CB26=0,"",Model!CB26)</f>
        <v/>
      </c>
      <c r="CE18" s="204" t="str">
        <f aca="false">IF(Model!CC26=0,"",Model!CC26)</f>
        <v/>
      </c>
      <c r="CF18" s="204" t="str">
        <f aca="false">IF(Model!CD26=0,"",Model!CD26)</f>
        <v/>
      </c>
      <c r="CG18" s="204" t="str">
        <f aca="false">IF(Model!CE26=0,"",Model!CE26)</f>
        <v/>
      </c>
      <c r="CH18" s="204" t="str">
        <f aca="false">IF(Model!CF26=0,"",Model!CF26)</f>
        <v/>
      </c>
      <c r="CI18" s="204" t="str">
        <f aca="false">IF(Model!CG26=0,"",Model!CG26)</f>
        <v/>
      </c>
      <c r="CJ18" s="204" t="str">
        <f aca="false">IF(Model!CH26=0,"",Model!CH26)</f>
        <v/>
      </c>
      <c r="CK18" s="204" t="str">
        <f aca="false">IF(Model!CI26=0,"",Model!CI26)</f>
        <v/>
      </c>
      <c r="CL18" s="204" t="str">
        <f aca="false">IF(Model!CJ26=0,"",Model!CJ26)</f>
        <v/>
      </c>
      <c r="CM18" s="204" t="str">
        <f aca="false">IF(Model!CK26=0,"",Model!CK26)</f>
        <v/>
      </c>
      <c r="CN18" s="204" t="str">
        <f aca="false">IF(Model!CL26=0,"",Model!CL26)</f>
        <v/>
      </c>
      <c r="CO18" s="204" t="str">
        <f aca="false">IF(Model!CM26=0,"",Model!CM26)</f>
        <v/>
      </c>
      <c r="CP18" s="204" t="str">
        <f aca="false">IF(Model!CN26=0,"",Model!CN26)</f>
        <v/>
      </c>
      <c r="CQ18" s="204" t="str">
        <f aca="false">IF(Model!CO26=0,"",Model!CO26)</f>
        <v/>
      </c>
      <c r="CR18" s="204" t="str">
        <f aca="false">IF(Model!CP26=0,"",Model!CP26)</f>
        <v/>
      </c>
      <c r="CS18" s="204" t="str">
        <f aca="false">IF(Model!CQ26=0,"",Model!CQ26)</f>
        <v/>
      </c>
      <c r="CT18" s="204" t="str">
        <f aca="false">IF(Model!CR26=0,"",Model!CR26)</f>
        <v/>
      </c>
      <c r="CU18" s="204" t="str">
        <f aca="false">IF(Model!CS26=0,"",Model!CS26)</f>
        <v/>
      </c>
      <c r="CV18" s="204" t="str">
        <f aca="false">IF(Model!CT26=0,"",Model!CT26)</f>
        <v/>
      </c>
      <c r="CW18" s="204" t="str">
        <f aca="false">IF(Model!CU26=0,"",Model!CU26)</f>
        <v/>
      </c>
      <c r="CX18" s="204" t="str">
        <f aca="false">IF(Model!CV26=0,"",Model!CV26)</f>
        <v/>
      </c>
      <c r="CY18" s="204" t="str">
        <f aca="false">IF(Model!CW26=0,"",Model!CW26)</f>
        <v/>
      </c>
      <c r="CZ18" s="204" t="str">
        <f aca="false">IF(Model!CX26=0,"",Model!CX26)</f>
        <v/>
      </c>
      <c r="DA18" s="204" t="str">
        <f aca="false">IF(Model!CY26=0,"",Model!CY26)</f>
        <v/>
      </c>
      <c r="DB18" s="204" t="str">
        <f aca="false">IF(Model!CZ26=0,"",Model!CZ26)</f>
        <v/>
      </c>
    </row>
    <row r="19" customFormat="false" ht="15" hidden="false" customHeight="true" outlineLevel="0" collapsed="false">
      <c r="A19" s="123" t="s">
        <v>21</v>
      </c>
      <c r="B19" s="201" t="n">
        <f aca="false">Projects!$B$18</f>
        <v>11537565</v>
      </c>
      <c r="C19" s="202" t="n">
        <f aca="false">EDATE(Model!$E$2,Projects!$C$18-1)</f>
        <v>46508</v>
      </c>
      <c r="D19" s="202" t="n">
        <f aca="false">EDATE(Model!$E$2,Projects!$C$18+Projects!$D$18-2)</f>
        <v>47058</v>
      </c>
      <c r="E19" s="203" t="n">
        <f aca="false">Projects!$D$18</f>
        <v>19</v>
      </c>
      <c r="F19" s="201" t="n">
        <f aca="false">SUM(G19:DB19)</f>
        <v>0</v>
      </c>
      <c r="G19" s="204" t="str">
        <f aca="false">IF(Model!E27=0,"",Model!E27)</f>
        <v/>
      </c>
      <c r="H19" s="204" t="str">
        <f aca="false">IF(Model!F27=0,"",Model!F27)</f>
        <v/>
      </c>
      <c r="I19" s="204" t="str">
        <f aca="false">IF(Model!G27=0,"",Model!G27)</f>
        <v/>
      </c>
      <c r="J19" s="204" t="str">
        <f aca="false">IF(Model!H27=0,"",Model!H27)</f>
        <v/>
      </c>
      <c r="K19" s="204" t="str">
        <f aca="false">IF(Model!I27=0,"",Model!I27)</f>
        <v/>
      </c>
      <c r="L19" s="204" t="str">
        <f aca="false">IF(Model!J27=0,"",Model!J27)</f>
        <v/>
      </c>
      <c r="M19" s="204" t="str">
        <f aca="false">IF(Model!K27=0,"",Model!K27)</f>
        <v/>
      </c>
      <c r="N19" s="204" t="str">
        <f aca="false">IF(Model!L27=0,"",Model!L27)</f>
        <v/>
      </c>
      <c r="O19" s="204" t="str">
        <f aca="false">IF(Model!M27=0,"",Model!M27)</f>
        <v/>
      </c>
      <c r="P19" s="204" t="str">
        <f aca="false">IF(Model!N27=0,"",Model!N27)</f>
        <v/>
      </c>
      <c r="Q19" s="204" t="str">
        <f aca="false">IF(Model!O27=0,"",Model!O27)</f>
        <v/>
      </c>
      <c r="R19" s="204" t="str">
        <f aca="false">IF(Model!P27=0,"",Model!P27)</f>
        <v/>
      </c>
      <c r="S19" s="204" t="str">
        <f aca="false">IF(Model!Q27=0,"",Model!Q27)</f>
        <v/>
      </c>
      <c r="T19" s="204" t="str">
        <f aca="false">IF(Model!R27=0,"",Model!R27)</f>
        <v/>
      </c>
      <c r="U19" s="204" t="str">
        <f aca="false">IF(Model!S27=0,"",Model!S27)</f>
        <v/>
      </c>
      <c r="V19" s="204" t="str">
        <f aca="false">IF(Model!T27=0,"",Model!T27)</f>
        <v/>
      </c>
      <c r="W19" s="204" t="str">
        <f aca="false">IF(Model!U27=0,"",Model!U27)</f>
        <v/>
      </c>
      <c r="X19" s="204" t="str">
        <f aca="false">IF(Model!V27=0,"",Model!V27)</f>
        <v/>
      </c>
      <c r="Y19" s="204" t="str">
        <f aca="false">IF(Model!W27=0,"",Model!W27)</f>
        <v/>
      </c>
      <c r="Z19" s="204" t="str">
        <f aca="false">IF(Model!X27=0,"",Model!X27)</f>
        <v/>
      </c>
      <c r="AA19" s="204" t="str">
        <f aca="false">IF(Model!Y27=0,"",Model!Y27)</f>
        <v/>
      </c>
      <c r="AB19" s="204" t="str">
        <f aca="false">IF(Model!Z27=0,"",Model!Z27)</f>
        <v/>
      </c>
      <c r="AC19" s="204" t="str">
        <f aca="false">IF(Model!AA27=0,"",Model!AA27)</f>
        <v/>
      </c>
      <c r="AD19" s="204" t="str">
        <f aca="false">IF(Model!AB27=0,"",Model!AB27)</f>
        <v/>
      </c>
      <c r="AE19" s="204" t="str">
        <f aca="false">IF(Model!AC27=0,"",Model!AC27)</f>
        <v/>
      </c>
      <c r="AF19" s="204" t="str">
        <f aca="false">IF(Model!AD27=0,"",Model!AD27)</f>
        <v/>
      </c>
      <c r="AG19" s="204" t="str">
        <f aca="false">IF(Model!AE27=0,"",Model!AE27)</f>
        <v/>
      </c>
      <c r="AH19" s="204" t="str">
        <f aca="false">IF(Model!AF27=0,"",Model!AF27)</f>
        <v/>
      </c>
      <c r="AI19" s="204" t="str">
        <f aca="false">IF(Model!AG27=0,"",Model!AG27)</f>
        <v/>
      </c>
      <c r="AJ19" s="204" t="str">
        <f aca="false">IF(Model!AH27=0,"",Model!AH27)</f>
        <v/>
      </c>
      <c r="AK19" s="204" t="str">
        <f aca="false">IF(Model!AI27=0,"",Model!AI27)</f>
        <v/>
      </c>
      <c r="AL19" s="204" t="str">
        <f aca="false">IF(Model!AJ27=0,"",Model!AJ27)</f>
        <v/>
      </c>
      <c r="AM19" s="204" t="str">
        <f aca="false">IF(Model!AK27=0,"",Model!AK27)</f>
        <v/>
      </c>
      <c r="AN19" s="204" t="str">
        <f aca="false">IF(Model!AL27=0,"",Model!AL27)</f>
        <v/>
      </c>
      <c r="AO19" s="204" t="str">
        <f aca="false">IF(Model!AM27=0,"",Model!AM27)</f>
        <v/>
      </c>
      <c r="AP19" s="204" t="str">
        <f aca="false">IF(Model!AN27=0,"",Model!AN27)</f>
        <v/>
      </c>
      <c r="AQ19" s="204" t="str">
        <f aca="false">IF(Model!AO27=0,"",Model!AO27)</f>
        <v/>
      </c>
      <c r="AR19" s="204" t="str">
        <f aca="false">IF(Model!AP27=0,"",Model!AP27)</f>
        <v/>
      </c>
      <c r="AS19" s="204" t="str">
        <f aca="false">IF(Model!AQ27=0,"",Model!AQ27)</f>
        <v/>
      </c>
      <c r="AT19" s="204" t="str">
        <f aca="false">IF(Model!AR27=0,"",Model!AR27)</f>
        <v/>
      </c>
      <c r="AU19" s="204" t="str">
        <f aca="false">IF(Model!AS27=0,"",Model!AS27)</f>
        <v/>
      </c>
      <c r="AV19" s="204" t="str">
        <f aca="false">IF(Model!AT27=0,"",Model!AT27)</f>
        <v/>
      </c>
      <c r="AW19" s="204" t="str">
        <f aca="false">IF(Model!AU27=0,"",Model!AU27)</f>
        <v/>
      </c>
      <c r="AX19" s="204" t="str">
        <f aca="false">IF(Model!AV27=0,"",Model!AV27)</f>
        <v/>
      </c>
      <c r="AY19" s="204" t="str">
        <f aca="false">IF(Model!AW27=0,"",Model!AW27)</f>
        <v/>
      </c>
      <c r="AZ19" s="204" t="str">
        <f aca="false">IF(Model!AX27=0,"",Model!AX27)</f>
        <v/>
      </c>
      <c r="BA19" s="204" t="str">
        <f aca="false">IF(Model!AY27=0,"",Model!AY27)</f>
        <v/>
      </c>
      <c r="BB19" s="204" t="str">
        <f aca="false">IF(Model!AZ27=0,"",Model!AZ27)</f>
        <v/>
      </c>
      <c r="BC19" s="204" t="str">
        <f aca="false">IF(Model!BA27=0,"",Model!BA27)</f>
        <v/>
      </c>
      <c r="BD19" s="204" t="str">
        <f aca="false">IF(Model!BB27=0,"",Model!BB27)</f>
        <v/>
      </c>
      <c r="BE19" s="204" t="str">
        <f aca="false">IF(Model!BC27=0,"",Model!BC27)</f>
        <v/>
      </c>
      <c r="BF19" s="204" t="str">
        <f aca="false">IF(Model!BD27=0,"",Model!BD27)</f>
        <v/>
      </c>
      <c r="BG19" s="204" t="str">
        <f aca="false">IF(Model!BE27=0,"",Model!BE27)</f>
        <v/>
      </c>
      <c r="BH19" s="204" t="str">
        <f aca="false">IF(Model!BF27=0,"",Model!BF27)</f>
        <v/>
      </c>
      <c r="BI19" s="204" t="str">
        <f aca="false">IF(Model!BG27=0,"",Model!BG27)</f>
        <v/>
      </c>
      <c r="BJ19" s="204" t="str">
        <f aca="false">IF(Model!BH27=0,"",Model!BH27)</f>
        <v/>
      </c>
      <c r="BK19" s="204" t="str">
        <f aca="false">IF(Model!BI27=0,"",Model!BI27)</f>
        <v/>
      </c>
      <c r="BL19" s="204" t="str">
        <f aca="false">IF(Model!BJ27=0,"",Model!BJ27)</f>
        <v/>
      </c>
      <c r="BM19" s="204" t="str">
        <f aca="false">IF(Model!BK27=0,"",Model!BK27)</f>
        <v/>
      </c>
      <c r="BN19" s="204" t="str">
        <f aca="false">IF(Model!BL27=0,"",Model!BL27)</f>
        <v/>
      </c>
      <c r="BO19" s="204" t="str">
        <f aca="false">IF(Model!BM27=0,"",Model!BM27)</f>
        <v/>
      </c>
      <c r="BP19" s="204" t="str">
        <f aca="false">IF(Model!BN27=0,"",Model!BN27)</f>
        <v/>
      </c>
      <c r="BQ19" s="204" t="str">
        <f aca="false">IF(Model!BO27=0,"",Model!BO27)</f>
        <v/>
      </c>
      <c r="BR19" s="204" t="str">
        <f aca="false">IF(Model!BP27=0,"",Model!BP27)</f>
        <v/>
      </c>
      <c r="BS19" s="204" t="str">
        <f aca="false">IF(Model!BQ27=0,"",Model!BQ27)</f>
        <v/>
      </c>
      <c r="BT19" s="204" t="str">
        <f aca="false">IF(Model!BR27=0,"",Model!BR27)</f>
        <v/>
      </c>
      <c r="BU19" s="204" t="str">
        <f aca="false">IF(Model!BS27=0,"",Model!BS27)</f>
        <v/>
      </c>
      <c r="BV19" s="204" t="str">
        <f aca="false">IF(Model!BT27=0,"",Model!BT27)</f>
        <v/>
      </c>
      <c r="BW19" s="204" t="str">
        <f aca="false">IF(Model!BU27=0,"",Model!BU27)</f>
        <v/>
      </c>
      <c r="BX19" s="204" t="str">
        <f aca="false">IF(Model!BV27=0,"",Model!BV27)</f>
        <v/>
      </c>
      <c r="BY19" s="204" t="str">
        <f aca="false">IF(Model!BW27=0,"",Model!BW27)</f>
        <v/>
      </c>
      <c r="BZ19" s="204" t="str">
        <f aca="false">IF(Model!BX27=0,"",Model!BX27)</f>
        <v/>
      </c>
      <c r="CA19" s="204" t="str">
        <f aca="false">IF(Model!BY27=0,"",Model!BY27)</f>
        <v/>
      </c>
      <c r="CB19" s="204" t="str">
        <f aca="false">IF(Model!BZ27=0,"",Model!BZ27)</f>
        <v/>
      </c>
      <c r="CC19" s="204" t="str">
        <f aca="false">IF(Model!CA27=0,"",Model!CA27)</f>
        <v/>
      </c>
      <c r="CD19" s="204" t="str">
        <f aca="false">IF(Model!CB27=0,"",Model!CB27)</f>
        <v/>
      </c>
      <c r="CE19" s="204" t="str">
        <f aca="false">IF(Model!CC27=0,"",Model!CC27)</f>
        <v/>
      </c>
      <c r="CF19" s="204" t="str">
        <f aca="false">IF(Model!CD27=0,"",Model!CD27)</f>
        <v/>
      </c>
      <c r="CG19" s="204" t="str">
        <f aca="false">IF(Model!CE27=0,"",Model!CE27)</f>
        <v/>
      </c>
      <c r="CH19" s="204" t="str">
        <f aca="false">IF(Model!CF27=0,"",Model!CF27)</f>
        <v/>
      </c>
      <c r="CI19" s="204" t="str">
        <f aca="false">IF(Model!CG27=0,"",Model!CG27)</f>
        <v/>
      </c>
      <c r="CJ19" s="204" t="str">
        <f aca="false">IF(Model!CH27=0,"",Model!CH27)</f>
        <v/>
      </c>
      <c r="CK19" s="204" t="str">
        <f aca="false">IF(Model!CI27=0,"",Model!CI27)</f>
        <v/>
      </c>
      <c r="CL19" s="204" t="str">
        <f aca="false">IF(Model!CJ27=0,"",Model!CJ27)</f>
        <v/>
      </c>
      <c r="CM19" s="204" t="str">
        <f aca="false">IF(Model!CK27=0,"",Model!CK27)</f>
        <v/>
      </c>
      <c r="CN19" s="204" t="str">
        <f aca="false">IF(Model!CL27=0,"",Model!CL27)</f>
        <v/>
      </c>
      <c r="CO19" s="204" t="str">
        <f aca="false">IF(Model!CM27=0,"",Model!CM27)</f>
        <v/>
      </c>
      <c r="CP19" s="204" t="str">
        <f aca="false">IF(Model!CN27=0,"",Model!CN27)</f>
        <v/>
      </c>
      <c r="CQ19" s="204" t="str">
        <f aca="false">IF(Model!CO27=0,"",Model!CO27)</f>
        <v/>
      </c>
      <c r="CR19" s="204" t="str">
        <f aca="false">IF(Model!CP27=0,"",Model!CP27)</f>
        <v/>
      </c>
      <c r="CS19" s="204" t="str">
        <f aca="false">IF(Model!CQ27=0,"",Model!CQ27)</f>
        <v/>
      </c>
      <c r="CT19" s="204" t="str">
        <f aca="false">IF(Model!CR27=0,"",Model!CR27)</f>
        <v/>
      </c>
      <c r="CU19" s="204" t="str">
        <f aca="false">IF(Model!CS27=0,"",Model!CS27)</f>
        <v/>
      </c>
      <c r="CV19" s="204" t="str">
        <f aca="false">IF(Model!CT27=0,"",Model!CT27)</f>
        <v/>
      </c>
      <c r="CW19" s="204" t="str">
        <f aca="false">IF(Model!CU27=0,"",Model!CU27)</f>
        <v/>
      </c>
      <c r="CX19" s="204" t="str">
        <f aca="false">IF(Model!CV27=0,"",Model!CV27)</f>
        <v/>
      </c>
      <c r="CY19" s="204" t="str">
        <f aca="false">IF(Model!CW27=0,"",Model!CW27)</f>
        <v/>
      </c>
      <c r="CZ19" s="204" t="str">
        <f aca="false">IF(Model!CX27=0,"",Model!CX27)</f>
        <v/>
      </c>
      <c r="DA19" s="204" t="str">
        <f aca="false">IF(Model!CY27=0,"",Model!CY27)</f>
        <v/>
      </c>
      <c r="DB19" s="204" t="str">
        <f aca="false">IF(Model!CZ27=0,"",Model!CZ27)</f>
        <v/>
      </c>
    </row>
    <row r="20" customFormat="false" ht="15" hidden="false" customHeight="true" outlineLevel="0" collapsed="false">
      <c r="A20" s="123" t="s">
        <v>22</v>
      </c>
      <c r="B20" s="201" t="n">
        <f aca="false">Projects!$B$19</f>
        <v>18764585</v>
      </c>
      <c r="C20" s="202" t="n">
        <f aca="false">EDATE(Model!$E$2,Projects!$C$19-1)</f>
        <v>46478</v>
      </c>
      <c r="D20" s="202" t="n">
        <f aca="false">EDATE(Model!$E$2,Projects!$C$19+Projects!$D$19-2)</f>
        <v>46997</v>
      </c>
      <c r="E20" s="203" t="n">
        <f aca="false">Projects!$D$19</f>
        <v>18</v>
      </c>
      <c r="F20" s="201" t="n">
        <f aca="false">SUM(G20:DB20)</f>
        <v>0</v>
      </c>
      <c r="G20" s="204" t="str">
        <f aca="false">IF(Model!E28=0,"",Model!E28)</f>
        <v/>
      </c>
      <c r="H20" s="204" t="str">
        <f aca="false">IF(Model!F28=0,"",Model!F28)</f>
        <v/>
      </c>
      <c r="I20" s="204" t="str">
        <f aca="false">IF(Model!G28=0,"",Model!G28)</f>
        <v/>
      </c>
      <c r="J20" s="204" t="str">
        <f aca="false">IF(Model!H28=0,"",Model!H28)</f>
        <v/>
      </c>
      <c r="K20" s="204" t="str">
        <f aca="false">IF(Model!I28=0,"",Model!I28)</f>
        <v/>
      </c>
      <c r="L20" s="204" t="str">
        <f aca="false">IF(Model!J28=0,"",Model!J28)</f>
        <v/>
      </c>
      <c r="M20" s="204" t="str">
        <f aca="false">IF(Model!K28=0,"",Model!K28)</f>
        <v/>
      </c>
      <c r="N20" s="204" t="str">
        <f aca="false">IF(Model!L28=0,"",Model!L28)</f>
        <v/>
      </c>
      <c r="O20" s="204" t="str">
        <f aca="false">IF(Model!M28=0,"",Model!M28)</f>
        <v/>
      </c>
      <c r="P20" s="204" t="str">
        <f aca="false">IF(Model!N28=0,"",Model!N28)</f>
        <v/>
      </c>
      <c r="Q20" s="204" t="str">
        <f aca="false">IF(Model!O28=0,"",Model!O28)</f>
        <v/>
      </c>
      <c r="R20" s="204" t="str">
        <f aca="false">IF(Model!P28=0,"",Model!P28)</f>
        <v/>
      </c>
      <c r="S20" s="204" t="str">
        <f aca="false">IF(Model!Q28=0,"",Model!Q28)</f>
        <v/>
      </c>
      <c r="T20" s="204" t="str">
        <f aca="false">IF(Model!R28=0,"",Model!R28)</f>
        <v/>
      </c>
      <c r="U20" s="204" t="str">
        <f aca="false">IF(Model!S28=0,"",Model!S28)</f>
        <v/>
      </c>
      <c r="V20" s="204" t="str">
        <f aca="false">IF(Model!T28=0,"",Model!T28)</f>
        <v/>
      </c>
      <c r="W20" s="204" t="str">
        <f aca="false">IF(Model!U28=0,"",Model!U28)</f>
        <v/>
      </c>
      <c r="X20" s="204" t="str">
        <f aca="false">IF(Model!V28=0,"",Model!V28)</f>
        <v/>
      </c>
      <c r="Y20" s="204" t="str">
        <f aca="false">IF(Model!W28=0,"",Model!W28)</f>
        <v/>
      </c>
      <c r="Z20" s="204" t="str">
        <f aca="false">IF(Model!X28=0,"",Model!X28)</f>
        <v/>
      </c>
      <c r="AA20" s="204" t="str">
        <f aca="false">IF(Model!Y28=0,"",Model!Y28)</f>
        <v/>
      </c>
      <c r="AB20" s="204" t="str">
        <f aca="false">IF(Model!Z28=0,"",Model!Z28)</f>
        <v/>
      </c>
      <c r="AC20" s="204" t="str">
        <f aca="false">IF(Model!AA28=0,"",Model!AA28)</f>
        <v/>
      </c>
      <c r="AD20" s="204" t="str">
        <f aca="false">IF(Model!AB28=0,"",Model!AB28)</f>
        <v/>
      </c>
      <c r="AE20" s="204" t="str">
        <f aca="false">IF(Model!AC28=0,"",Model!AC28)</f>
        <v/>
      </c>
      <c r="AF20" s="204" t="str">
        <f aca="false">IF(Model!AD28=0,"",Model!AD28)</f>
        <v/>
      </c>
      <c r="AG20" s="204" t="str">
        <f aca="false">IF(Model!AE28=0,"",Model!AE28)</f>
        <v/>
      </c>
      <c r="AH20" s="204" t="str">
        <f aca="false">IF(Model!AF28=0,"",Model!AF28)</f>
        <v/>
      </c>
      <c r="AI20" s="204" t="str">
        <f aca="false">IF(Model!AG28=0,"",Model!AG28)</f>
        <v/>
      </c>
      <c r="AJ20" s="204" t="str">
        <f aca="false">IF(Model!AH28=0,"",Model!AH28)</f>
        <v/>
      </c>
      <c r="AK20" s="204" t="str">
        <f aca="false">IF(Model!AI28=0,"",Model!AI28)</f>
        <v/>
      </c>
      <c r="AL20" s="204" t="str">
        <f aca="false">IF(Model!AJ28=0,"",Model!AJ28)</f>
        <v/>
      </c>
      <c r="AM20" s="204" t="str">
        <f aca="false">IF(Model!AK28=0,"",Model!AK28)</f>
        <v/>
      </c>
      <c r="AN20" s="204" t="str">
        <f aca="false">IF(Model!AL28=0,"",Model!AL28)</f>
        <v/>
      </c>
      <c r="AO20" s="204" t="str">
        <f aca="false">IF(Model!AM28=0,"",Model!AM28)</f>
        <v/>
      </c>
      <c r="AP20" s="204" t="str">
        <f aca="false">IF(Model!AN28=0,"",Model!AN28)</f>
        <v/>
      </c>
      <c r="AQ20" s="204" t="str">
        <f aca="false">IF(Model!AO28=0,"",Model!AO28)</f>
        <v/>
      </c>
      <c r="AR20" s="204" t="str">
        <f aca="false">IF(Model!AP28=0,"",Model!AP28)</f>
        <v/>
      </c>
      <c r="AS20" s="204" t="str">
        <f aca="false">IF(Model!AQ28=0,"",Model!AQ28)</f>
        <v/>
      </c>
      <c r="AT20" s="204" t="str">
        <f aca="false">IF(Model!AR28=0,"",Model!AR28)</f>
        <v/>
      </c>
      <c r="AU20" s="204" t="str">
        <f aca="false">IF(Model!AS28=0,"",Model!AS28)</f>
        <v/>
      </c>
      <c r="AV20" s="204" t="str">
        <f aca="false">IF(Model!AT28=0,"",Model!AT28)</f>
        <v/>
      </c>
      <c r="AW20" s="204" t="str">
        <f aca="false">IF(Model!AU28=0,"",Model!AU28)</f>
        <v/>
      </c>
      <c r="AX20" s="204" t="str">
        <f aca="false">IF(Model!AV28=0,"",Model!AV28)</f>
        <v/>
      </c>
      <c r="AY20" s="204" t="str">
        <f aca="false">IF(Model!AW28=0,"",Model!AW28)</f>
        <v/>
      </c>
      <c r="AZ20" s="204" t="str">
        <f aca="false">IF(Model!AX28=0,"",Model!AX28)</f>
        <v/>
      </c>
      <c r="BA20" s="204" t="str">
        <f aca="false">IF(Model!AY28=0,"",Model!AY28)</f>
        <v/>
      </c>
      <c r="BB20" s="204" t="str">
        <f aca="false">IF(Model!AZ28=0,"",Model!AZ28)</f>
        <v/>
      </c>
      <c r="BC20" s="204" t="str">
        <f aca="false">IF(Model!BA28=0,"",Model!BA28)</f>
        <v/>
      </c>
      <c r="BD20" s="204" t="str">
        <f aca="false">IF(Model!BB28=0,"",Model!BB28)</f>
        <v/>
      </c>
      <c r="BE20" s="204" t="str">
        <f aca="false">IF(Model!BC28=0,"",Model!BC28)</f>
        <v/>
      </c>
      <c r="BF20" s="204" t="str">
        <f aca="false">IF(Model!BD28=0,"",Model!BD28)</f>
        <v/>
      </c>
      <c r="BG20" s="204" t="str">
        <f aca="false">IF(Model!BE28=0,"",Model!BE28)</f>
        <v/>
      </c>
      <c r="BH20" s="204" t="str">
        <f aca="false">IF(Model!BF28=0,"",Model!BF28)</f>
        <v/>
      </c>
      <c r="BI20" s="204" t="str">
        <f aca="false">IF(Model!BG28=0,"",Model!BG28)</f>
        <v/>
      </c>
      <c r="BJ20" s="204" t="str">
        <f aca="false">IF(Model!BH28=0,"",Model!BH28)</f>
        <v/>
      </c>
      <c r="BK20" s="204" t="str">
        <f aca="false">IF(Model!BI28=0,"",Model!BI28)</f>
        <v/>
      </c>
      <c r="BL20" s="204" t="str">
        <f aca="false">IF(Model!BJ28=0,"",Model!BJ28)</f>
        <v/>
      </c>
      <c r="BM20" s="204" t="str">
        <f aca="false">IF(Model!BK28=0,"",Model!BK28)</f>
        <v/>
      </c>
      <c r="BN20" s="204" t="str">
        <f aca="false">IF(Model!BL28=0,"",Model!BL28)</f>
        <v/>
      </c>
      <c r="BO20" s="204" t="str">
        <f aca="false">IF(Model!BM28=0,"",Model!BM28)</f>
        <v/>
      </c>
      <c r="BP20" s="204" t="str">
        <f aca="false">IF(Model!BN28=0,"",Model!BN28)</f>
        <v/>
      </c>
      <c r="BQ20" s="204" t="str">
        <f aca="false">IF(Model!BO28=0,"",Model!BO28)</f>
        <v/>
      </c>
      <c r="BR20" s="204" t="str">
        <f aca="false">IF(Model!BP28=0,"",Model!BP28)</f>
        <v/>
      </c>
      <c r="BS20" s="204" t="str">
        <f aca="false">IF(Model!BQ28=0,"",Model!BQ28)</f>
        <v/>
      </c>
      <c r="BT20" s="204" t="str">
        <f aca="false">IF(Model!BR28=0,"",Model!BR28)</f>
        <v/>
      </c>
      <c r="BU20" s="204" t="str">
        <f aca="false">IF(Model!BS28=0,"",Model!BS28)</f>
        <v/>
      </c>
      <c r="BV20" s="204" t="str">
        <f aca="false">IF(Model!BT28=0,"",Model!BT28)</f>
        <v/>
      </c>
      <c r="BW20" s="204" t="str">
        <f aca="false">IF(Model!BU28=0,"",Model!BU28)</f>
        <v/>
      </c>
      <c r="BX20" s="204" t="str">
        <f aca="false">IF(Model!BV28=0,"",Model!BV28)</f>
        <v/>
      </c>
      <c r="BY20" s="204" t="str">
        <f aca="false">IF(Model!BW28=0,"",Model!BW28)</f>
        <v/>
      </c>
      <c r="BZ20" s="204" t="str">
        <f aca="false">IF(Model!BX28=0,"",Model!BX28)</f>
        <v/>
      </c>
      <c r="CA20" s="204" t="str">
        <f aca="false">IF(Model!BY28=0,"",Model!BY28)</f>
        <v/>
      </c>
      <c r="CB20" s="204" t="str">
        <f aca="false">IF(Model!BZ28=0,"",Model!BZ28)</f>
        <v/>
      </c>
      <c r="CC20" s="204" t="str">
        <f aca="false">IF(Model!CA28=0,"",Model!CA28)</f>
        <v/>
      </c>
      <c r="CD20" s="204" t="str">
        <f aca="false">IF(Model!CB28=0,"",Model!CB28)</f>
        <v/>
      </c>
      <c r="CE20" s="204" t="str">
        <f aca="false">IF(Model!CC28=0,"",Model!CC28)</f>
        <v/>
      </c>
      <c r="CF20" s="204" t="str">
        <f aca="false">IF(Model!CD28=0,"",Model!CD28)</f>
        <v/>
      </c>
      <c r="CG20" s="204" t="str">
        <f aca="false">IF(Model!CE28=0,"",Model!CE28)</f>
        <v/>
      </c>
      <c r="CH20" s="204" t="str">
        <f aca="false">IF(Model!CF28=0,"",Model!CF28)</f>
        <v/>
      </c>
      <c r="CI20" s="204" t="str">
        <f aca="false">IF(Model!CG28=0,"",Model!CG28)</f>
        <v/>
      </c>
      <c r="CJ20" s="204" t="str">
        <f aca="false">IF(Model!CH28=0,"",Model!CH28)</f>
        <v/>
      </c>
      <c r="CK20" s="204" t="str">
        <f aca="false">IF(Model!CI28=0,"",Model!CI28)</f>
        <v/>
      </c>
      <c r="CL20" s="204" t="str">
        <f aca="false">IF(Model!CJ28=0,"",Model!CJ28)</f>
        <v/>
      </c>
      <c r="CM20" s="204" t="str">
        <f aca="false">IF(Model!CK28=0,"",Model!CK28)</f>
        <v/>
      </c>
      <c r="CN20" s="204" t="str">
        <f aca="false">IF(Model!CL28=0,"",Model!CL28)</f>
        <v/>
      </c>
      <c r="CO20" s="204" t="str">
        <f aca="false">IF(Model!CM28=0,"",Model!CM28)</f>
        <v/>
      </c>
      <c r="CP20" s="204" t="str">
        <f aca="false">IF(Model!CN28=0,"",Model!CN28)</f>
        <v/>
      </c>
      <c r="CQ20" s="204" t="str">
        <f aca="false">IF(Model!CO28=0,"",Model!CO28)</f>
        <v/>
      </c>
      <c r="CR20" s="204" t="str">
        <f aca="false">IF(Model!CP28=0,"",Model!CP28)</f>
        <v/>
      </c>
      <c r="CS20" s="204" t="str">
        <f aca="false">IF(Model!CQ28=0,"",Model!CQ28)</f>
        <v/>
      </c>
      <c r="CT20" s="204" t="str">
        <f aca="false">IF(Model!CR28=0,"",Model!CR28)</f>
        <v/>
      </c>
      <c r="CU20" s="204" t="str">
        <f aca="false">IF(Model!CS28=0,"",Model!CS28)</f>
        <v/>
      </c>
      <c r="CV20" s="204" t="str">
        <f aca="false">IF(Model!CT28=0,"",Model!CT28)</f>
        <v/>
      </c>
      <c r="CW20" s="204" t="str">
        <f aca="false">IF(Model!CU28=0,"",Model!CU28)</f>
        <v/>
      </c>
      <c r="CX20" s="204" t="str">
        <f aca="false">IF(Model!CV28=0,"",Model!CV28)</f>
        <v/>
      </c>
      <c r="CY20" s="204" t="str">
        <f aca="false">IF(Model!CW28=0,"",Model!CW28)</f>
        <v/>
      </c>
      <c r="CZ20" s="204" t="str">
        <f aca="false">IF(Model!CX28=0,"",Model!CX28)</f>
        <v/>
      </c>
      <c r="DA20" s="204" t="str">
        <f aca="false">IF(Model!CY28=0,"",Model!CY28)</f>
        <v/>
      </c>
      <c r="DB20" s="204" t="str">
        <f aca="false">IF(Model!CZ28=0,"",Model!CZ28)</f>
        <v/>
      </c>
    </row>
    <row r="21" customFormat="false" ht="15" hidden="false" customHeight="true" outlineLevel="0" collapsed="false">
      <c r="A21" s="94" t="s">
        <v>626</v>
      </c>
      <c r="G21" s="205" t="n">
        <f aca="false">SUM(G7:G20)+SUM(G24:G27)</f>
        <v>3312759.91</v>
      </c>
      <c r="H21" s="205" t="n">
        <f aca="false">SUM(H7:H20)+SUM(H24:H27)</f>
        <v>3939278.23</v>
      </c>
      <c r="I21" s="205" t="n">
        <f aca="false">SUM(I7:I20)+SUM(I24:I27)</f>
        <v>5584522.73</v>
      </c>
      <c r="J21" s="205" t="n">
        <f aca="false">SUM(J7:J20)+SUM(J24:J27)</f>
        <v>6409057.07</v>
      </c>
      <c r="K21" s="205" t="n">
        <f aca="false">SUM(K7:K20)+SUM(K24:K27)</f>
        <v>5304128.59</v>
      </c>
      <c r="L21" s="205" t="n">
        <f aca="false">SUM(L7:L20)+SUM(L24:L27)</f>
        <v>5630859.39</v>
      </c>
      <c r="M21" s="205" t="n">
        <f aca="false">SUM(M7:M20)+SUM(M24:M27)</f>
        <v>5161211.17</v>
      </c>
      <c r="N21" s="205" t="n">
        <f aca="false">SUM(N7:N20)+SUM(N24:N27)</f>
        <v>4161030.95</v>
      </c>
      <c r="O21" s="205" t="n">
        <f aca="false">SUM(O7:O20)+SUM(O24:O27)</f>
        <v>4094950.85099936</v>
      </c>
      <c r="P21" s="205" t="n">
        <f aca="false">SUM(P7:P20)+SUM(P24:P27)</f>
        <v>4923945.33304903</v>
      </c>
      <c r="Q21" s="205" t="n">
        <f aca="false">SUM(Q7:Q20)+SUM(Q24:Q27)</f>
        <v>4988886.2253878</v>
      </c>
      <c r="R21" s="205" t="n">
        <f aca="false">SUM(R7:R20)+SUM(R24:R27)</f>
        <v>5471649.5153733</v>
      </c>
      <c r="S21" s="205" t="n">
        <f aca="false">SUM(S7:S20)+SUM(S24:S27)</f>
        <v>5419200.45510243</v>
      </c>
      <c r="T21" s="205" t="n">
        <f aca="false">SUM(T7:T20)+SUM(T24:T27)</f>
        <v>5450089.27022729</v>
      </c>
      <c r="U21" s="205" t="n">
        <f aca="false">SUM(U7:U20)+SUM(U24:U27)</f>
        <v>6601833.4097417</v>
      </c>
      <c r="V21" s="205" t="n">
        <f aca="false">SUM(V7:V20)+SUM(V24:V27)</f>
        <v>7665355.73741594</v>
      </c>
      <c r="W21" s="205" t="n">
        <f aca="false">SUM(W7:W20)+SUM(W24:W27)</f>
        <v>7210276.01158481</v>
      </c>
      <c r="X21" s="205" t="n">
        <f aca="false">SUM(X7:X20)+SUM(X24:X27)</f>
        <v>7887286.71040314</v>
      </c>
      <c r="Y21" s="205" t="n">
        <f aca="false">SUM(Y7:Y20)+SUM(Y24:Y27)</f>
        <v>6682807.80728754</v>
      </c>
      <c r="Z21" s="205" t="n">
        <f aca="false">SUM(Z7:Z20)+SUM(Z24:Z27)</f>
        <v>7974895.58407616</v>
      </c>
      <c r="AA21" s="205" t="n">
        <f aca="false">SUM(AA7:AA20)+SUM(AA24:AA27)</f>
        <v>6758306.15371834</v>
      </c>
      <c r="AB21" s="205" t="n">
        <f aca="false">SUM(AB7:AB20)+SUM(AB24:AB27)</f>
        <v>7570634.40307335</v>
      </c>
      <c r="AC21" s="205" t="n">
        <f aca="false">SUM(AC7:AC20)+SUM(AC24:AC27)</f>
        <v>6920458.16651624</v>
      </c>
      <c r="AD21" s="205" t="n">
        <f aca="false">SUM(AD7:AD20)+SUM(AD24:AD27)</f>
        <v>5861315.87259463</v>
      </c>
      <c r="AE21" s="205" t="n">
        <f aca="false">SUM(AE7:AE20)+SUM(AE24:AE27)</f>
        <v>5077405.24782715</v>
      </c>
      <c r="AF21" s="205" t="n">
        <f aca="false">SUM(AF7:AF20)+SUM(AF24:AF27)</f>
        <v>5129363.8866817</v>
      </c>
      <c r="AG21" s="205" t="n">
        <f aca="false">SUM(AG7:AG20)+SUM(AG24:AG27)</f>
        <v>4916081.23287398</v>
      </c>
      <c r="AH21" s="205" t="n">
        <f aca="false">SUM(AH7:AH20)+SUM(AH24:AH27)</f>
        <v>4854781.80161196</v>
      </c>
      <c r="AI21" s="205" t="n">
        <f aca="false">SUM(AI7:AI20)+SUM(AI24:AI27)</f>
        <v>5304709.5123653</v>
      </c>
      <c r="AJ21" s="205" t="n">
        <f aca="false">SUM(AJ7:AJ20)+SUM(AJ24:AJ27)</f>
        <v>4955841.08812195</v>
      </c>
      <c r="AK21" s="205" t="n">
        <f aca="false">SUM(AK7:AK20)+SUM(AK24:AK27)</f>
        <v>4820658.86122815</v>
      </c>
      <c r="AL21" s="205" t="n">
        <f aca="false">SUM(AL7:AL20)+SUM(AL24:AL27)</f>
        <v>3810579.86989945</v>
      </c>
      <c r="AM21" s="205" t="n">
        <f aca="false">SUM(AM7:AM20)+SUM(AM24:AM27)</f>
        <v>3480209.20451245</v>
      </c>
      <c r="AN21" s="205" t="n">
        <f aca="false">SUM(AN7:AN20)+SUM(AN24:AN27)</f>
        <v>3412568.011221</v>
      </c>
      <c r="AO21" s="205" t="n">
        <f aca="false">SUM(AO7:AO20)+SUM(AO24:AO27)</f>
        <v>3310792.1250326</v>
      </c>
      <c r="AP21" s="205" t="n">
        <f aca="false">SUM(AP7:AP20)+SUM(AP24:AP27)</f>
        <v>2326286.9867421</v>
      </c>
      <c r="AQ21" s="205" t="n">
        <f aca="false">SUM(AQ7:AQ20)+SUM(AQ24:AQ27)</f>
        <v>1832513.71469805</v>
      </c>
      <c r="AR21" s="205" t="n">
        <f aca="false">SUM(AR7:AR20)+SUM(AR24:AR27)</f>
        <v>1494045.18828695</v>
      </c>
      <c r="AS21" s="205" t="n">
        <f aca="false">SUM(AS7:AS20)+SUM(AS24:AS27)</f>
        <v>1154783.29265278</v>
      </c>
      <c r="AT21" s="205" t="n">
        <f aca="false">SUM(AT7:AT20)+SUM(AT24:AT27)</f>
        <v>1028579.53789278</v>
      </c>
      <c r="AU21" s="205" t="n">
        <f aca="false">SUM(AU7:AU20)+SUM(AU24:AU27)</f>
        <v>903552.719152783</v>
      </c>
      <c r="AV21" s="205" t="n">
        <f aca="false">SUM(AV7:AV20)+SUM(AV24:AV27)</f>
        <v>781966.174932784</v>
      </c>
      <c r="AW21" s="205" t="n">
        <f aca="false">SUM(AW7:AW20)+SUM(AW24:AW27)</f>
        <v>665675.842802783</v>
      </c>
      <c r="AX21" s="205" t="n">
        <f aca="false">SUM(AX7:AX20)+SUM(AX24:AX27)</f>
        <v>283780.474359283</v>
      </c>
      <c r="AY21" s="205" t="n">
        <f aca="false">SUM(AY7:AY20)+SUM(AY24:AY27)</f>
        <v>0</v>
      </c>
      <c r="AZ21" s="205" t="n">
        <f aca="false">SUM(AZ7:AZ20)+SUM(AZ24:AZ27)</f>
        <v>0</v>
      </c>
      <c r="BA21" s="205" t="n">
        <f aca="false">SUM(BA7:BA20)+SUM(BA24:BA27)</f>
        <v>0</v>
      </c>
      <c r="BB21" s="205" t="n">
        <f aca="false">SUM(BB7:BB20)+SUM(BB24:BB27)</f>
        <v>0</v>
      </c>
      <c r="BC21" s="205" t="n">
        <f aca="false">SUM(BC7:BC20)+SUM(BC24:BC27)</f>
        <v>0</v>
      </c>
      <c r="BD21" s="205" t="n">
        <f aca="false">SUM(BD7:BD20)+SUM(BD24:BD27)</f>
        <v>0</v>
      </c>
      <c r="BE21" s="205" t="n">
        <f aca="false">SUM(BE7:BE20)+SUM(BE24:BE27)</f>
        <v>0</v>
      </c>
      <c r="BF21" s="205" t="n">
        <f aca="false">SUM(BF7:BF20)+SUM(BF24:BF27)</f>
        <v>0</v>
      </c>
      <c r="BG21" s="205" t="n">
        <f aca="false">SUM(BG7:BG20)+SUM(BG24:BG27)</f>
        <v>0</v>
      </c>
      <c r="BH21" s="205" t="n">
        <f aca="false">SUM(BH7:BH20)+SUM(BH24:BH27)</f>
        <v>0</v>
      </c>
      <c r="BI21" s="205" t="n">
        <f aca="false">SUM(BI7:BI20)+SUM(BI24:BI27)</f>
        <v>0</v>
      </c>
      <c r="BJ21" s="205" t="n">
        <f aca="false">SUM(BJ7:BJ20)+SUM(BJ24:BJ27)</f>
        <v>0</v>
      </c>
      <c r="BK21" s="205" t="n">
        <f aca="false">SUM(BK7:BK20)+SUM(BK24:BK27)</f>
        <v>0</v>
      </c>
      <c r="BL21" s="205" t="n">
        <f aca="false">SUM(BL7:BL20)+SUM(BL24:BL27)</f>
        <v>0</v>
      </c>
      <c r="BM21" s="205" t="n">
        <f aca="false">SUM(BM7:BM20)+SUM(BM24:BM27)</f>
        <v>0</v>
      </c>
      <c r="BN21" s="205" t="n">
        <f aca="false">SUM(BN7:BN20)+SUM(BN24:BN27)</f>
        <v>0</v>
      </c>
      <c r="BO21" s="205" t="n">
        <f aca="false">SUM(BO7:BO20)+SUM(BO24:BO27)</f>
        <v>0</v>
      </c>
      <c r="BP21" s="205" t="n">
        <f aca="false">SUM(BP7:BP20)+SUM(BP24:BP27)</f>
        <v>0</v>
      </c>
      <c r="BQ21" s="205" t="n">
        <f aca="false">SUM(BQ7:BQ20)+SUM(BQ24:BQ27)</f>
        <v>0</v>
      </c>
      <c r="BR21" s="205" t="n">
        <f aca="false">SUM(BR7:BR20)+SUM(BR24:BR27)</f>
        <v>0</v>
      </c>
      <c r="BS21" s="205" t="n">
        <f aca="false">SUM(BS7:BS20)+SUM(BS24:BS27)</f>
        <v>0</v>
      </c>
      <c r="BT21" s="205" t="n">
        <f aca="false">SUM(BT7:BT20)+SUM(BT24:BT27)</f>
        <v>0</v>
      </c>
      <c r="BU21" s="205" t="n">
        <f aca="false">SUM(BU7:BU20)+SUM(BU24:BU27)</f>
        <v>0</v>
      </c>
      <c r="BV21" s="205" t="n">
        <f aca="false">SUM(BV7:BV20)+SUM(BV24:BV27)</f>
        <v>0</v>
      </c>
      <c r="BW21" s="205" t="n">
        <f aca="false">SUM(BW7:BW20)+SUM(BW24:BW27)</f>
        <v>0</v>
      </c>
      <c r="BX21" s="205" t="n">
        <f aca="false">SUM(BX7:BX20)+SUM(BX24:BX27)</f>
        <v>0</v>
      </c>
      <c r="BY21" s="205" t="n">
        <f aca="false">SUM(BY7:BY20)+SUM(BY24:BY27)</f>
        <v>0</v>
      </c>
      <c r="BZ21" s="205" t="n">
        <f aca="false">SUM(BZ7:BZ20)+SUM(BZ24:BZ27)</f>
        <v>0</v>
      </c>
      <c r="CA21" s="205" t="n">
        <f aca="false">SUM(CA7:CA20)+SUM(CA24:CA27)</f>
        <v>0</v>
      </c>
      <c r="CB21" s="205" t="n">
        <f aca="false">SUM(CB7:CB20)+SUM(CB24:CB27)</f>
        <v>0</v>
      </c>
      <c r="CC21" s="205" t="n">
        <f aca="false">SUM(CC7:CC20)+SUM(CC24:CC27)</f>
        <v>0</v>
      </c>
      <c r="CD21" s="205" t="n">
        <f aca="false">SUM(CD7:CD20)+SUM(CD24:CD27)</f>
        <v>0</v>
      </c>
      <c r="CE21" s="205" t="n">
        <f aca="false">SUM(CE7:CE20)+SUM(CE24:CE27)</f>
        <v>0</v>
      </c>
      <c r="CF21" s="205" t="n">
        <f aca="false">SUM(CF7:CF20)+SUM(CF24:CF27)</f>
        <v>0</v>
      </c>
      <c r="CG21" s="205" t="n">
        <f aca="false">SUM(CG7:CG20)+SUM(CG24:CG27)</f>
        <v>0</v>
      </c>
      <c r="CH21" s="205" t="n">
        <f aca="false">SUM(CH7:CH20)+SUM(CH24:CH27)</f>
        <v>0</v>
      </c>
      <c r="CI21" s="205" t="n">
        <f aca="false">SUM(CI7:CI20)+SUM(CI24:CI27)</f>
        <v>0</v>
      </c>
      <c r="CJ21" s="205" t="n">
        <f aca="false">SUM(CJ7:CJ20)+SUM(CJ24:CJ27)</f>
        <v>0</v>
      </c>
      <c r="CK21" s="205" t="n">
        <f aca="false">SUM(CK7:CK20)+SUM(CK24:CK27)</f>
        <v>0</v>
      </c>
      <c r="CL21" s="205" t="n">
        <f aca="false">SUM(CL7:CL20)+SUM(CL24:CL27)</f>
        <v>0</v>
      </c>
      <c r="CM21" s="205" t="n">
        <f aca="false">SUM(CM7:CM20)+SUM(CM24:CM27)</f>
        <v>0</v>
      </c>
      <c r="CN21" s="205" t="n">
        <f aca="false">SUM(CN7:CN20)+SUM(CN24:CN27)</f>
        <v>0</v>
      </c>
      <c r="CO21" s="205" t="n">
        <f aca="false">SUM(CO7:CO20)+SUM(CO24:CO27)</f>
        <v>0</v>
      </c>
      <c r="CP21" s="205" t="n">
        <f aca="false">SUM(CP7:CP20)+SUM(CP24:CP27)</f>
        <v>0</v>
      </c>
      <c r="CQ21" s="205" t="n">
        <f aca="false">SUM(CQ7:CQ20)+SUM(CQ24:CQ27)</f>
        <v>0</v>
      </c>
      <c r="CR21" s="205" t="n">
        <f aca="false">SUM(CR7:CR20)+SUM(CR24:CR27)</f>
        <v>0</v>
      </c>
      <c r="CS21" s="205" t="n">
        <f aca="false">SUM(CS7:CS20)+SUM(CS24:CS27)</f>
        <v>0</v>
      </c>
      <c r="CT21" s="205" t="n">
        <f aca="false">SUM(CT7:CT20)+SUM(CT24:CT27)</f>
        <v>0</v>
      </c>
      <c r="CU21" s="205" t="n">
        <f aca="false">SUM(CU7:CU20)+SUM(CU24:CU27)</f>
        <v>0</v>
      </c>
      <c r="CV21" s="205" t="n">
        <f aca="false">SUM(CV7:CV20)+SUM(CV24:CV27)</f>
        <v>0</v>
      </c>
      <c r="CW21" s="205" t="n">
        <f aca="false">SUM(CW7:CW20)+SUM(CW24:CW27)</f>
        <v>0</v>
      </c>
      <c r="CX21" s="205" t="n">
        <f aca="false">SUM(CX7:CX20)+SUM(CX24:CX27)</f>
        <v>0</v>
      </c>
      <c r="CY21" s="205" t="n">
        <f aca="false">SUM(CY7:CY20)+SUM(CY24:CY27)</f>
        <v>0</v>
      </c>
      <c r="CZ21" s="205" t="n">
        <f aca="false">SUM(CZ7:CZ20)+SUM(CZ24:CZ27)</f>
        <v>0</v>
      </c>
      <c r="DA21" s="205" t="n">
        <f aca="false">SUM(DA7:DA20)+SUM(DA24:DA27)</f>
        <v>0</v>
      </c>
      <c r="DB21" s="205" t="n">
        <f aca="false">SUM(DB7:DB20)+SUM(DB24:DB27)</f>
        <v>0</v>
      </c>
    </row>
    <row r="22" customFormat="false" ht="15" hidden="false" customHeight="true" outlineLevel="0" collapsed="false">
      <c r="A22" s="94" t="s">
        <v>627</v>
      </c>
      <c r="G22" s="206" t="n">
        <f aca="false">COUNT(G7:G20)+COUNT(G24:G27)</f>
        <v>5</v>
      </c>
      <c r="H22" s="206" t="n">
        <f aca="false">COUNT(H7:H20)+COUNT(H24:H27)</f>
        <v>5</v>
      </c>
      <c r="I22" s="206" t="n">
        <f aca="false">COUNT(I7:I20)+COUNT(I24:I27)</f>
        <v>5</v>
      </c>
      <c r="J22" s="206" t="n">
        <f aca="false">COUNT(J7:J20)+COUNT(J24:J27)</f>
        <v>7</v>
      </c>
      <c r="K22" s="206" t="n">
        <f aca="false">COUNT(K7:K20)+COUNT(K24:K27)</f>
        <v>8</v>
      </c>
      <c r="L22" s="206" t="n">
        <f aca="false">COUNT(L7:L20)+COUNT(L24:L27)</f>
        <v>8</v>
      </c>
      <c r="M22" s="206" t="n">
        <f aca="false">COUNT(M7:M20)+COUNT(M24:M27)</f>
        <v>8</v>
      </c>
      <c r="N22" s="206" t="n">
        <f aca="false">COUNT(N7:N20)+COUNT(N24:N27)</f>
        <v>8</v>
      </c>
      <c r="O22" s="206" t="n">
        <f aca="false">COUNT(O7:O20)+COUNT(O24:O27)</f>
        <v>9</v>
      </c>
      <c r="P22" s="206" t="n">
        <f aca="false">COUNT(P7:P20)+COUNT(P24:P27)</f>
        <v>9</v>
      </c>
      <c r="Q22" s="206" t="n">
        <f aca="false">COUNT(Q7:Q20)+COUNT(Q24:Q27)</f>
        <v>10</v>
      </c>
      <c r="R22" s="206" t="n">
        <f aca="false">COUNT(R7:R20)+COUNT(R24:R27)</f>
        <v>10</v>
      </c>
      <c r="S22" s="206" t="n">
        <f aca="false">COUNT(S7:S20)+COUNT(S24:S27)</f>
        <v>10</v>
      </c>
      <c r="T22" s="206" t="n">
        <f aca="false">COUNT(T7:T20)+COUNT(T24:T27)</f>
        <v>10</v>
      </c>
      <c r="U22" s="206" t="n">
        <f aca="false">COUNT(U7:U20)+COUNT(U24:U27)</f>
        <v>12</v>
      </c>
      <c r="V22" s="206" t="n">
        <f aca="false">COUNT(V7:V20)+COUNT(V24:V27)</f>
        <v>11</v>
      </c>
      <c r="W22" s="206" t="n">
        <f aca="false">COUNT(W7:W20)+COUNT(W24:W27)</f>
        <v>11</v>
      </c>
      <c r="X22" s="206" t="n">
        <f aca="false">COUNT(X7:X20)+COUNT(X24:X27)</f>
        <v>10</v>
      </c>
      <c r="Y22" s="206" t="n">
        <f aca="false">COUNT(Y7:Y20)+COUNT(Y24:Y27)</f>
        <v>9</v>
      </c>
      <c r="Z22" s="206" t="n">
        <f aca="false">COUNT(Z7:Z20)+COUNT(Z24:Z27)</f>
        <v>8</v>
      </c>
      <c r="AA22" s="206" t="n">
        <f aca="false">COUNT(AA7:AA20)+COUNT(AA24:AA27)</f>
        <v>8</v>
      </c>
      <c r="AB22" s="206" t="n">
        <f aca="false">COUNT(AB7:AB20)+COUNT(AB24:AB27)</f>
        <v>8</v>
      </c>
      <c r="AC22" s="206" t="n">
        <f aca="false">COUNT(AC7:AC20)+COUNT(AC24:AC27)</f>
        <v>8</v>
      </c>
      <c r="AD22" s="206" t="n">
        <f aca="false">COUNT(AD7:AD20)+COUNT(AD24:AD27)</f>
        <v>7</v>
      </c>
      <c r="AE22" s="206" t="n">
        <f aca="false">COUNT(AE7:AE20)+COUNT(AE24:AE27)</f>
        <v>6</v>
      </c>
      <c r="AF22" s="206" t="n">
        <f aca="false">COUNT(AF7:AF20)+COUNT(AF24:AF27)</f>
        <v>6</v>
      </c>
      <c r="AG22" s="206" t="n">
        <f aca="false">COUNT(AG7:AG20)+COUNT(AG24:AG27)</f>
        <v>6</v>
      </c>
      <c r="AH22" s="206" t="n">
        <f aca="false">COUNT(AH7:AH20)+COUNT(AH24:AH27)</f>
        <v>6</v>
      </c>
      <c r="AI22" s="206" t="n">
        <f aca="false">COUNT(AI7:AI20)+COUNT(AI24:AI27)</f>
        <v>4</v>
      </c>
      <c r="AJ22" s="206" t="n">
        <f aca="false">COUNT(AJ7:AJ20)+COUNT(AJ24:AJ27)</f>
        <v>3</v>
      </c>
      <c r="AK22" s="206" t="n">
        <f aca="false">COUNT(AK7:AK20)+COUNT(AK24:AK27)</f>
        <v>3</v>
      </c>
      <c r="AL22" s="206" t="n">
        <f aca="false">COUNT(AL7:AL20)+COUNT(AL24:AL27)</f>
        <v>3</v>
      </c>
      <c r="AM22" s="206" t="n">
        <f aca="false">COUNT(AM7:AM20)+COUNT(AM24:AM27)</f>
        <v>3</v>
      </c>
      <c r="AN22" s="206" t="n">
        <f aca="false">COUNT(AN7:AN20)+COUNT(AN24:AN27)</f>
        <v>3</v>
      </c>
      <c r="AO22" s="206" t="n">
        <f aca="false">COUNT(AO7:AO20)+COUNT(AO24:AO27)</f>
        <v>3</v>
      </c>
      <c r="AP22" s="206" t="n">
        <f aca="false">COUNT(AP7:AP20)+COUNT(AP24:AP27)</f>
        <v>3</v>
      </c>
      <c r="AQ22" s="206" t="n">
        <f aca="false">COUNT(AQ7:AQ20)+COUNT(AQ24:AQ27)</f>
        <v>2</v>
      </c>
      <c r="AR22" s="206" t="n">
        <f aca="false">COUNT(AR7:AR20)+COUNT(AR24:AR27)</f>
        <v>2</v>
      </c>
      <c r="AS22" s="206" t="n">
        <f aca="false">COUNT(AS7:AS20)+COUNT(AS24:AS27)</f>
        <v>1</v>
      </c>
      <c r="AT22" s="206" t="n">
        <f aca="false">COUNT(AT7:AT20)+COUNT(AT24:AT27)</f>
        <v>1</v>
      </c>
      <c r="AU22" s="206" t="n">
        <f aca="false">COUNT(AU7:AU20)+COUNT(AU24:AU27)</f>
        <v>1</v>
      </c>
      <c r="AV22" s="206" t="n">
        <f aca="false">COUNT(AV7:AV20)+COUNT(AV24:AV27)</f>
        <v>1</v>
      </c>
      <c r="AW22" s="206" t="n">
        <f aca="false">COUNT(AW7:AW20)+COUNT(AW24:AW27)</f>
        <v>1</v>
      </c>
      <c r="AX22" s="206" t="n">
        <f aca="false">COUNT(AX7:AX20)+COUNT(AX24:AX27)</f>
        <v>1</v>
      </c>
      <c r="AY22" s="206" t="n">
        <f aca="false">COUNT(AY7:AY20)+COUNT(AY24:AY27)</f>
        <v>0</v>
      </c>
      <c r="AZ22" s="206" t="n">
        <f aca="false">COUNT(AZ7:AZ20)+COUNT(AZ24:AZ27)</f>
        <v>0</v>
      </c>
      <c r="BA22" s="206" t="n">
        <f aca="false">COUNT(BA7:BA20)+COUNT(BA24:BA27)</f>
        <v>0</v>
      </c>
      <c r="BB22" s="206" t="n">
        <f aca="false">COUNT(BB7:BB20)+COUNT(BB24:BB27)</f>
        <v>0</v>
      </c>
      <c r="BC22" s="206" t="n">
        <f aca="false">COUNT(BC7:BC20)+COUNT(BC24:BC27)</f>
        <v>0</v>
      </c>
      <c r="BD22" s="206" t="n">
        <f aca="false">COUNT(BD7:BD20)+COUNT(BD24:BD27)</f>
        <v>0</v>
      </c>
      <c r="BE22" s="206" t="n">
        <f aca="false">COUNT(BE7:BE20)+COUNT(BE24:BE27)</f>
        <v>0</v>
      </c>
      <c r="BF22" s="206" t="n">
        <f aca="false">COUNT(BF7:BF20)+COUNT(BF24:BF27)</f>
        <v>0</v>
      </c>
      <c r="BG22" s="206" t="n">
        <f aca="false">COUNT(BG7:BG20)+COUNT(BG24:BG27)</f>
        <v>0</v>
      </c>
      <c r="BH22" s="206" t="n">
        <f aca="false">COUNT(BH7:BH20)+COUNT(BH24:BH27)</f>
        <v>0</v>
      </c>
      <c r="BI22" s="206" t="n">
        <f aca="false">COUNT(BI7:BI20)+COUNT(BI24:BI27)</f>
        <v>0</v>
      </c>
      <c r="BJ22" s="206" t="n">
        <f aca="false">COUNT(BJ7:BJ20)+COUNT(BJ24:BJ27)</f>
        <v>0</v>
      </c>
      <c r="BK22" s="206" t="n">
        <f aca="false">COUNT(BK7:BK20)+COUNT(BK24:BK27)</f>
        <v>0</v>
      </c>
      <c r="BL22" s="206" t="n">
        <f aca="false">COUNT(BL7:BL20)+COUNT(BL24:BL27)</f>
        <v>0</v>
      </c>
      <c r="BM22" s="206" t="n">
        <f aca="false">COUNT(BM7:BM20)+COUNT(BM24:BM27)</f>
        <v>0</v>
      </c>
      <c r="BN22" s="206" t="n">
        <f aca="false">COUNT(BN7:BN20)+COUNT(BN24:BN27)</f>
        <v>0</v>
      </c>
      <c r="BO22" s="206" t="n">
        <f aca="false">COUNT(BO7:BO20)+COUNT(BO24:BO27)</f>
        <v>0</v>
      </c>
      <c r="BP22" s="206" t="n">
        <f aca="false">COUNT(BP7:BP20)+COUNT(BP24:BP27)</f>
        <v>0</v>
      </c>
      <c r="BQ22" s="206" t="n">
        <f aca="false">COUNT(BQ7:BQ20)+COUNT(BQ24:BQ27)</f>
        <v>0</v>
      </c>
      <c r="BR22" s="206" t="n">
        <f aca="false">COUNT(BR7:BR20)+COUNT(BR24:BR27)</f>
        <v>0</v>
      </c>
      <c r="BS22" s="206" t="n">
        <f aca="false">COUNT(BS7:BS20)+COUNT(BS24:BS27)</f>
        <v>0</v>
      </c>
      <c r="BT22" s="206" t="n">
        <f aca="false">COUNT(BT7:BT20)+COUNT(BT24:BT27)</f>
        <v>0</v>
      </c>
      <c r="BU22" s="206" t="n">
        <f aca="false">COUNT(BU7:BU20)+COUNT(BU24:BU27)</f>
        <v>0</v>
      </c>
      <c r="BV22" s="206" t="n">
        <f aca="false">COUNT(BV7:BV20)+COUNT(BV24:BV27)</f>
        <v>0</v>
      </c>
      <c r="BW22" s="206" t="n">
        <f aca="false">COUNT(BW7:BW20)+COUNT(BW24:BW27)</f>
        <v>0</v>
      </c>
      <c r="BX22" s="206" t="n">
        <f aca="false">COUNT(BX7:BX20)+COUNT(BX24:BX27)</f>
        <v>0</v>
      </c>
      <c r="BY22" s="206" t="n">
        <f aca="false">COUNT(BY7:BY20)+COUNT(BY24:BY27)</f>
        <v>0</v>
      </c>
      <c r="BZ22" s="206" t="n">
        <f aca="false">COUNT(BZ7:BZ20)+COUNT(BZ24:BZ27)</f>
        <v>0</v>
      </c>
      <c r="CA22" s="206" t="n">
        <f aca="false">COUNT(CA7:CA20)+COUNT(CA24:CA27)</f>
        <v>0</v>
      </c>
      <c r="CB22" s="206" t="n">
        <f aca="false">COUNT(CB7:CB20)+COUNT(CB24:CB27)</f>
        <v>0</v>
      </c>
      <c r="CC22" s="206" t="n">
        <f aca="false">COUNT(CC7:CC20)+COUNT(CC24:CC27)</f>
        <v>0</v>
      </c>
      <c r="CD22" s="206" t="n">
        <f aca="false">COUNT(CD7:CD20)+COUNT(CD24:CD27)</f>
        <v>0</v>
      </c>
      <c r="CE22" s="206" t="n">
        <f aca="false">COUNT(CE7:CE20)+COUNT(CE24:CE27)</f>
        <v>0</v>
      </c>
      <c r="CF22" s="206" t="n">
        <f aca="false">COUNT(CF7:CF20)+COUNT(CF24:CF27)</f>
        <v>0</v>
      </c>
      <c r="CG22" s="206" t="n">
        <f aca="false">COUNT(CG7:CG20)+COUNT(CG24:CG27)</f>
        <v>0</v>
      </c>
      <c r="CH22" s="206" t="n">
        <f aca="false">COUNT(CH7:CH20)+COUNT(CH24:CH27)</f>
        <v>0</v>
      </c>
      <c r="CI22" s="206" t="n">
        <f aca="false">COUNT(CI7:CI20)+COUNT(CI24:CI27)</f>
        <v>0</v>
      </c>
      <c r="CJ22" s="206" t="n">
        <f aca="false">COUNT(CJ7:CJ20)+COUNT(CJ24:CJ27)</f>
        <v>0</v>
      </c>
      <c r="CK22" s="206" t="n">
        <f aca="false">COUNT(CK7:CK20)+COUNT(CK24:CK27)</f>
        <v>0</v>
      </c>
      <c r="CL22" s="206" t="n">
        <f aca="false">COUNT(CL7:CL20)+COUNT(CL24:CL27)</f>
        <v>0</v>
      </c>
      <c r="CM22" s="206" t="n">
        <f aca="false">COUNT(CM7:CM20)+COUNT(CM24:CM27)</f>
        <v>0</v>
      </c>
      <c r="CN22" s="206" t="n">
        <f aca="false">COUNT(CN7:CN20)+COUNT(CN24:CN27)</f>
        <v>0</v>
      </c>
      <c r="CO22" s="206" t="n">
        <f aca="false">COUNT(CO7:CO20)+COUNT(CO24:CO27)</f>
        <v>0</v>
      </c>
      <c r="CP22" s="206" t="n">
        <f aca="false">COUNT(CP7:CP20)+COUNT(CP24:CP27)</f>
        <v>0</v>
      </c>
      <c r="CQ22" s="206" t="n">
        <f aca="false">COUNT(CQ7:CQ20)+COUNT(CQ24:CQ27)</f>
        <v>0</v>
      </c>
      <c r="CR22" s="206" t="n">
        <f aca="false">COUNT(CR7:CR20)+COUNT(CR24:CR27)</f>
        <v>0</v>
      </c>
      <c r="CS22" s="206" t="n">
        <f aca="false">COUNT(CS7:CS20)+COUNT(CS24:CS27)</f>
        <v>0</v>
      </c>
      <c r="CT22" s="206" t="n">
        <f aca="false">COUNT(CT7:CT20)+COUNT(CT24:CT27)</f>
        <v>0</v>
      </c>
      <c r="CU22" s="206" t="n">
        <f aca="false">COUNT(CU7:CU20)+COUNT(CU24:CU27)</f>
        <v>0</v>
      </c>
      <c r="CV22" s="206" t="n">
        <f aca="false">COUNT(CV7:CV20)+COUNT(CV24:CV27)</f>
        <v>0</v>
      </c>
      <c r="CW22" s="206" t="n">
        <f aca="false">COUNT(CW7:CW20)+COUNT(CW24:CW27)</f>
        <v>0</v>
      </c>
      <c r="CX22" s="206" t="n">
        <f aca="false">COUNT(CX7:CX20)+COUNT(CX24:CX27)</f>
        <v>0</v>
      </c>
      <c r="CY22" s="206" t="n">
        <f aca="false">COUNT(CY7:CY20)+COUNT(CY24:CY27)</f>
        <v>0</v>
      </c>
      <c r="CZ22" s="206" t="n">
        <f aca="false">COUNT(CZ7:CZ20)+COUNT(CZ24:CZ27)</f>
        <v>0</v>
      </c>
      <c r="DA22" s="206" t="n">
        <f aca="false">COUNT(DA7:DA20)+COUNT(DA24:DA27)</f>
        <v>0</v>
      </c>
      <c r="DB22" s="206" t="n">
        <f aca="false">COUNT(DB7:DB20)+COUNT(DB24:DB27)</f>
        <v>0</v>
      </c>
    </row>
    <row r="23" customFormat="false" ht="15" hidden="false" customHeight="true" outlineLevel="0" collapsed="false">
      <c r="A23" s="199" t="s">
        <v>628</v>
      </c>
      <c r="B23" s="200"/>
      <c r="C23" s="200"/>
      <c r="D23" s="200"/>
      <c r="E23" s="200"/>
      <c r="F23" s="200"/>
      <c r="G23" s="200"/>
      <c r="H23" s="200"/>
      <c r="I23" s="200"/>
      <c r="J23" s="200"/>
      <c r="K23" s="200"/>
      <c r="L23" s="200"/>
      <c r="M23" s="200"/>
      <c r="N23" s="200"/>
      <c r="O23" s="200"/>
      <c r="P23" s="200"/>
      <c r="Q23" s="200"/>
      <c r="R23" s="200"/>
      <c r="S23" s="200"/>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200"/>
      <c r="BB23" s="200"/>
      <c r="BC23" s="200"/>
      <c r="BD23" s="200"/>
      <c r="BE23" s="200"/>
      <c r="BF23" s="200"/>
      <c r="BG23" s="200"/>
      <c r="BH23" s="200"/>
      <c r="BI23" s="200"/>
      <c r="BJ23" s="200"/>
      <c r="BK23" s="200"/>
      <c r="BL23" s="200"/>
      <c r="BM23" s="200"/>
      <c r="BN23" s="200"/>
      <c r="BO23" s="200"/>
      <c r="BP23" s="200"/>
      <c r="BQ23" s="200"/>
      <c r="BR23" s="200"/>
      <c r="BS23" s="200"/>
      <c r="BT23" s="200"/>
      <c r="BU23" s="200"/>
      <c r="BV23" s="200"/>
      <c r="BW23" s="200"/>
      <c r="BX23" s="200"/>
      <c r="BY23" s="200"/>
      <c r="BZ23" s="200"/>
      <c r="CA23" s="200"/>
      <c r="CB23" s="200"/>
      <c r="CC23" s="200"/>
      <c r="CD23" s="200"/>
      <c r="CE23" s="200"/>
      <c r="CF23" s="200"/>
      <c r="CG23" s="200"/>
      <c r="CH23" s="200"/>
      <c r="CI23" s="200"/>
      <c r="CJ23" s="200"/>
      <c r="CK23" s="200"/>
      <c r="CL23" s="200"/>
      <c r="CM23" s="200"/>
      <c r="CN23" s="200"/>
      <c r="CO23" s="200"/>
      <c r="CP23" s="200"/>
      <c r="CQ23" s="200"/>
      <c r="CR23" s="200"/>
      <c r="CS23" s="200"/>
      <c r="CT23" s="200"/>
      <c r="CU23" s="200"/>
      <c r="CV23" s="200"/>
      <c r="CW23" s="200"/>
      <c r="CX23" s="200"/>
      <c r="CY23" s="200"/>
      <c r="CZ23" s="200"/>
      <c r="DA23" s="200"/>
      <c r="DB23" s="200"/>
    </row>
    <row r="24" customFormat="false" ht="15" hidden="false" customHeight="true" outlineLevel="0" collapsed="false">
      <c r="A24" s="123" t="s">
        <v>16</v>
      </c>
      <c r="B24" s="201" t="n">
        <f aca="false">Projects!$B$11</f>
        <v>9577109</v>
      </c>
      <c r="C24" s="202" t="n">
        <f aca="false">EDATE(Model!$E$2,Projects!$C$11-1)</f>
        <v>46419</v>
      </c>
      <c r="D24" s="202" t="n">
        <f aca="false">EDATE(Model!$E$2,Projects!$C$11+Projects!$D$11-2)</f>
        <v>46966</v>
      </c>
      <c r="E24" s="203" t="n">
        <f aca="false">Projects!$D$11</f>
        <v>19</v>
      </c>
      <c r="F24" s="201" t="n">
        <f aca="false">SUM(G24:DB24)</f>
        <v>8424111.270381</v>
      </c>
      <c r="G24" s="204" t="str">
        <f aca="false">IF(Model!E22=0,"",Model!E22)</f>
        <v/>
      </c>
      <c r="H24" s="204" t="str">
        <f aca="false">IF(Model!F22=0,"",Model!F22)</f>
        <v/>
      </c>
      <c r="I24" s="204" t="str">
        <f aca="false">IF(Model!G22=0,"",Model!G22)</f>
        <v/>
      </c>
      <c r="J24" s="204" t="str">
        <f aca="false">IF(Model!H22=0,"",Model!H22)</f>
        <v/>
      </c>
      <c r="K24" s="204" t="str">
        <f aca="false">IF(Model!I22=0,"",Model!I22)</f>
        <v/>
      </c>
      <c r="L24" s="204" t="str">
        <f aca="false">IF(Model!J22=0,"",Model!J22)</f>
        <v/>
      </c>
      <c r="M24" s="204" t="str">
        <f aca="false">IF(Model!K22=0,"",Model!K22)</f>
        <v/>
      </c>
      <c r="N24" s="204" t="str">
        <f aca="false">IF(Model!L22=0,"",Model!L22)</f>
        <v/>
      </c>
      <c r="O24" s="204" t="str">
        <f aca="false">IF(Model!M22=0,"",Model!M22)</f>
        <v/>
      </c>
      <c r="P24" s="204" t="str">
        <f aca="false">IF(Model!N22=0,"",Model!N22)</f>
        <v/>
      </c>
      <c r="Q24" s="204" t="n">
        <f aca="false">IF(Model!O22=0,"",Model!O22)</f>
        <v>196306.31287205</v>
      </c>
      <c r="R24" s="204" t="n">
        <f aca="false">IF(Model!P22=0,"",Model!P22)</f>
        <v>256105.78146805</v>
      </c>
      <c r="S24" s="204" t="n">
        <f aca="false">IF(Model!Q22=0,"",Model!Q22)</f>
        <v>320473.53105705</v>
      </c>
      <c r="T24" s="204" t="n">
        <f aca="false">IF(Model!R22=0,"",Model!R22)</f>
        <v>386842.89642705</v>
      </c>
      <c r="U24" s="204" t="n">
        <f aca="false">IF(Model!S22=0,"",Model!S22)</f>
        <v>452024.70028105</v>
      </c>
      <c r="V24" s="204" t="n">
        <f aca="false">IF(Model!T22=0,"",Model!T22)</f>
        <v>512398.79541705</v>
      </c>
      <c r="W24" s="204" t="n">
        <f aca="false">IF(Model!U22=0,"",Model!U22)</f>
        <v>564258.84065205</v>
      </c>
      <c r="X24" s="204" t="n">
        <f aca="false">IF(Model!V22=0,"",Model!V22)</f>
        <v>604166.65385505</v>
      </c>
      <c r="Y24" s="204" t="n">
        <f aca="false">IF(Model!W22=0,"",Model!W22)</f>
        <v>629335.29630705</v>
      </c>
      <c r="Z24" s="204" t="n">
        <f aca="false">IF(Model!X22=0,"",Model!X22)</f>
        <v>637935.54018905</v>
      </c>
      <c r="AA24" s="204" t="n">
        <f aca="false">IF(Model!Y22=0,"",Model!Y22)</f>
        <v>629335.29630705</v>
      </c>
      <c r="AB24" s="204" t="n">
        <f aca="false">IF(Model!Z22=0,"",Model!Z22)</f>
        <v>604166.65385505</v>
      </c>
      <c r="AC24" s="204" t="n">
        <f aca="false">IF(Model!AA22=0,"",Model!AA22)</f>
        <v>564258.84065205</v>
      </c>
      <c r="AD24" s="204" t="n">
        <f aca="false">IF(Model!AB22=0,"",Model!AB22)</f>
        <v>512398.79541705</v>
      </c>
      <c r="AE24" s="204" t="n">
        <f aca="false">IF(Model!AC22=0,"",Model!AC22)</f>
        <v>452024.70028105</v>
      </c>
      <c r="AF24" s="204" t="n">
        <f aca="false">IF(Model!AD22=0,"",Model!AD22)</f>
        <v>386842.89642705</v>
      </c>
      <c r="AG24" s="204" t="n">
        <f aca="false">IF(Model!AE22=0,"",Model!AE22)</f>
        <v>320473.53105705</v>
      </c>
      <c r="AH24" s="204" t="n">
        <f aca="false">IF(Model!AF22=0,"",Model!AF22)</f>
        <v>256105.78146805</v>
      </c>
      <c r="AI24" s="204" t="n">
        <f aca="false">IF(Model!AG22=0,"",Model!AG22)</f>
        <v>138656.4263911</v>
      </c>
      <c r="AJ24" s="204" t="str">
        <f aca="false">IF(Model!AH22=0,"",Model!AH22)</f>
        <v/>
      </c>
      <c r="AK24" s="204" t="str">
        <f aca="false">IF(Model!AI22=0,"",Model!AI22)</f>
        <v/>
      </c>
      <c r="AL24" s="204" t="str">
        <f aca="false">IF(Model!AJ22=0,"",Model!AJ22)</f>
        <v/>
      </c>
      <c r="AM24" s="204" t="str">
        <f aca="false">IF(Model!AK22=0,"",Model!AK22)</f>
        <v/>
      </c>
      <c r="AN24" s="204" t="str">
        <f aca="false">IF(Model!AL22=0,"",Model!AL22)</f>
        <v/>
      </c>
      <c r="AO24" s="204" t="str">
        <f aca="false">IF(Model!AM22=0,"",Model!AM22)</f>
        <v/>
      </c>
      <c r="AP24" s="204" t="str">
        <f aca="false">IF(Model!AN22=0,"",Model!AN22)</f>
        <v/>
      </c>
      <c r="AQ24" s="204" t="str">
        <f aca="false">IF(Model!AO22=0,"",Model!AO22)</f>
        <v/>
      </c>
      <c r="AR24" s="204" t="str">
        <f aca="false">IF(Model!AP22=0,"",Model!AP22)</f>
        <v/>
      </c>
      <c r="AS24" s="204" t="str">
        <f aca="false">IF(Model!AQ22=0,"",Model!AQ22)</f>
        <v/>
      </c>
      <c r="AT24" s="204" t="str">
        <f aca="false">IF(Model!AR22=0,"",Model!AR22)</f>
        <v/>
      </c>
      <c r="AU24" s="204" t="str">
        <f aca="false">IF(Model!AS22=0,"",Model!AS22)</f>
        <v/>
      </c>
      <c r="AV24" s="204" t="str">
        <f aca="false">IF(Model!AT22=0,"",Model!AT22)</f>
        <v/>
      </c>
      <c r="AW24" s="204" t="str">
        <f aca="false">IF(Model!AU22=0,"",Model!AU22)</f>
        <v/>
      </c>
      <c r="AX24" s="204" t="str">
        <f aca="false">IF(Model!AV22=0,"",Model!AV22)</f>
        <v/>
      </c>
      <c r="AY24" s="204" t="str">
        <f aca="false">IF(Model!AW22=0,"",Model!AW22)</f>
        <v/>
      </c>
      <c r="AZ24" s="204" t="str">
        <f aca="false">IF(Model!AX22=0,"",Model!AX22)</f>
        <v/>
      </c>
      <c r="BA24" s="204" t="str">
        <f aca="false">IF(Model!AY22=0,"",Model!AY22)</f>
        <v/>
      </c>
      <c r="BB24" s="204" t="str">
        <f aca="false">IF(Model!AZ22=0,"",Model!AZ22)</f>
        <v/>
      </c>
      <c r="BC24" s="204" t="str">
        <f aca="false">IF(Model!BA22=0,"",Model!BA22)</f>
        <v/>
      </c>
      <c r="BD24" s="204" t="str">
        <f aca="false">IF(Model!BB22=0,"",Model!BB22)</f>
        <v/>
      </c>
      <c r="BE24" s="204" t="str">
        <f aca="false">IF(Model!BC22=0,"",Model!BC22)</f>
        <v/>
      </c>
      <c r="BF24" s="204" t="str">
        <f aca="false">IF(Model!BD22=0,"",Model!BD22)</f>
        <v/>
      </c>
      <c r="BG24" s="204" t="str">
        <f aca="false">IF(Model!BE22=0,"",Model!BE22)</f>
        <v/>
      </c>
      <c r="BH24" s="204" t="str">
        <f aca="false">IF(Model!BF22=0,"",Model!BF22)</f>
        <v/>
      </c>
      <c r="BI24" s="204" t="str">
        <f aca="false">IF(Model!BG22=0,"",Model!BG22)</f>
        <v/>
      </c>
      <c r="BJ24" s="204" t="str">
        <f aca="false">IF(Model!BH22=0,"",Model!BH22)</f>
        <v/>
      </c>
      <c r="BK24" s="204" t="str">
        <f aca="false">IF(Model!BI22=0,"",Model!BI22)</f>
        <v/>
      </c>
      <c r="BL24" s="204" t="str">
        <f aca="false">IF(Model!BJ22=0,"",Model!BJ22)</f>
        <v/>
      </c>
      <c r="BM24" s="204" t="str">
        <f aca="false">IF(Model!BK22=0,"",Model!BK22)</f>
        <v/>
      </c>
      <c r="BN24" s="204" t="str">
        <f aca="false">IF(Model!BL22=0,"",Model!BL22)</f>
        <v/>
      </c>
      <c r="BO24" s="204" t="str">
        <f aca="false">IF(Model!BM22=0,"",Model!BM22)</f>
        <v/>
      </c>
      <c r="BP24" s="204" t="str">
        <f aca="false">IF(Model!BN22=0,"",Model!BN22)</f>
        <v/>
      </c>
      <c r="BQ24" s="204" t="str">
        <f aca="false">IF(Model!BO22=0,"",Model!BO22)</f>
        <v/>
      </c>
      <c r="BR24" s="204" t="str">
        <f aca="false">IF(Model!BP22=0,"",Model!BP22)</f>
        <v/>
      </c>
      <c r="BS24" s="204" t="str">
        <f aca="false">IF(Model!BQ22=0,"",Model!BQ22)</f>
        <v/>
      </c>
      <c r="BT24" s="204" t="str">
        <f aca="false">IF(Model!BR22=0,"",Model!BR22)</f>
        <v/>
      </c>
      <c r="BU24" s="204" t="str">
        <f aca="false">IF(Model!BS22=0,"",Model!BS22)</f>
        <v/>
      </c>
      <c r="BV24" s="204" t="str">
        <f aca="false">IF(Model!BT22=0,"",Model!BT22)</f>
        <v/>
      </c>
      <c r="BW24" s="204" t="str">
        <f aca="false">IF(Model!BU22=0,"",Model!BU22)</f>
        <v/>
      </c>
      <c r="BX24" s="204" t="str">
        <f aca="false">IF(Model!BV22=0,"",Model!BV22)</f>
        <v/>
      </c>
      <c r="BY24" s="204" t="str">
        <f aca="false">IF(Model!BW22=0,"",Model!BW22)</f>
        <v/>
      </c>
      <c r="BZ24" s="204" t="str">
        <f aca="false">IF(Model!BX22=0,"",Model!BX22)</f>
        <v/>
      </c>
      <c r="CA24" s="204" t="str">
        <f aca="false">IF(Model!BY22=0,"",Model!BY22)</f>
        <v/>
      </c>
      <c r="CB24" s="204" t="str">
        <f aca="false">IF(Model!BZ22=0,"",Model!BZ22)</f>
        <v/>
      </c>
      <c r="CC24" s="204" t="str">
        <f aca="false">IF(Model!CA22=0,"",Model!CA22)</f>
        <v/>
      </c>
      <c r="CD24" s="204" t="str">
        <f aca="false">IF(Model!CB22=0,"",Model!CB22)</f>
        <v/>
      </c>
      <c r="CE24" s="204" t="str">
        <f aca="false">IF(Model!CC22=0,"",Model!CC22)</f>
        <v/>
      </c>
      <c r="CF24" s="204" t="str">
        <f aca="false">IF(Model!CD22=0,"",Model!CD22)</f>
        <v/>
      </c>
      <c r="CG24" s="204" t="str">
        <f aca="false">IF(Model!CE22=0,"",Model!CE22)</f>
        <v/>
      </c>
      <c r="CH24" s="204" t="str">
        <f aca="false">IF(Model!CF22=0,"",Model!CF22)</f>
        <v/>
      </c>
      <c r="CI24" s="204" t="str">
        <f aca="false">IF(Model!CG22=0,"",Model!CG22)</f>
        <v/>
      </c>
      <c r="CJ24" s="204" t="str">
        <f aca="false">IF(Model!CH22=0,"",Model!CH22)</f>
        <v/>
      </c>
      <c r="CK24" s="204" t="str">
        <f aca="false">IF(Model!CI22=0,"",Model!CI22)</f>
        <v/>
      </c>
      <c r="CL24" s="204" t="str">
        <f aca="false">IF(Model!CJ22=0,"",Model!CJ22)</f>
        <v/>
      </c>
      <c r="CM24" s="204" t="str">
        <f aca="false">IF(Model!CK22=0,"",Model!CK22)</f>
        <v/>
      </c>
      <c r="CN24" s="204" t="str">
        <f aca="false">IF(Model!CL22=0,"",Model!CL22)</f>
        <v/>
      </c>
      <c r="CO24" s="204" t="str">
        <f aca="false">IF(Model!CM22=0,"",Model!CM22)</f>
        <v/>
      </c>
      <c r="CP24" s="204" t="str">
        <f aca="false">IF(Model!CN22=0,"",Model!CN22)</f>
        <v/>
      </c>
      <c r="CQ24" s="204" t="str">
        <f aca="false">IF(Model!CO22=0,"",Model!CO22)</f>
        <v/>
      </c>
      <c r="CR24" s="204" t="str">
        <f aca="false">IF(Model!CP22=0,"",Model!CP22)</f>
        <v/>
      </c>
      <c r="CS24" s="204" t="str">
        <f aca="false">IF(Model!CQ22=0,"",Model!CQ22)</f>
        <v/>
      </c>
      <c r="CT24" s="204" t="str">
        <f aca="false">IF(Model!CR22=0,"",Model!CR22)</f>
        <v/>
      </c>
      <c r="CU24" s="204" t="str">
        <f aca="false">IF(Model!CS22=0,"",Model!CS22)</f>
        <v/>
      </c>
      <c r="CV24" s="204" t="str">
        <f aca="false">IF(Model!CT22=0,"",Model!CT22)</f>
        <v/>
      </c>
      <c r="CW24" s="204" t="str">
        <f aca="false">IF(Model!CU22=0,"",Model!CU22)</f>
        <v/>
      </c>
      <c r="CX24" s="204" t="str">
        <f aca="false">IF(Model!CV22=0,"",Model!CV22)</f>
        <v/>
      </c>
      <c r="CY24" s="204" t="str">
        <f aca="false">IF(Model!CW22=0,"",Model!CW22)</f>
        <v/>
      </c>
      <c r="CZ24" s="204" t="str">
        <f aca="false">IF(Model!CX22=0,"",Model!CX22)</f>
        <v/>
      </c>
      <c r="DA24" s="204" t="str">
        <f aca="false">IF(Model!CY22=0,"",Model!CY22)</f>
        <v/>
      </c>
      <c r="DB24" s="204" t="str">
        <f aca="false">IF(Model!CZ22=0,"",Model!CZ22)</f>
        <v/>
      </c>
    </row>
    <row r="25" customFormat="false" ht="15" hidden="false" customHeight="true" outlineLevel="0" collapsed="false">
      <c r="A25" s="123" t="s">
        <v>17</v>
      </c>
      <c r="B25" s="201" t="n">
        <f aca="false">Projects!$B$12</f>
        <v>7545203</v>
      </c>
      <c r="C25" s="202" t="n">
        <f aca="false">EDATE(Model!$E$2,Projects!$C$12-1)</f>
        <v>46388</v>
      </c>
      <c r="D25" s="202" t="n">
        <f aca="false">EDATE(Model!$E$2,Projects!$C$12+Projects!$D$12-2)</f>
        <v>46935</v>
      </c>
      <c r="E25" s="203" t="n">
        <f aca="false">Projects!$D$12</f>
        <v>19</v>
      </c>
      <c r="F25" s="201" t="n">
        <f aca="false">SUM(G25:DB25)</f>
        <v>6636828.465627</v>
      </c>
      <c r="G25" s="204" t="str">
        <f aca="false">IF(Model!E23=0,"",Model!E23)</f>
        <v/>
      </c>
      <c r="H25" s="204" t="str">
        <f aca="false">IF(Model!F23=0,"",Model!F23)</f>
        <v/>
      </c>
      <c r="I25" s="204" t="str">
        <f aca="false">IF(Model!G23=0,"",Model!G23)</f>
        <v/>
      </c>
      <c r="J25" s="204" t="str">
        <f aca="false">IF(Model!H23=0,"",Model!H23)</f>
        <v/>
      </c>
      <c r="K25" s="204" t="str">
        <f aca="false">IF(Model!I23=0,"",Model!I23)</f>
        <v/>
      </c>
      <c r="L25" s="204" t="str">
        <f aca="false">IF(Model!J23=0,"",Model!J23)</f>
        <v/>
      </c>
      <c r="M25" s="204" t="str">
        <f aca="false">IF(Model!K23=0,"",Model!K23)</f>
        <v/>
      </c>
      <c r="N25" s="204" t="str">
        <f aca="false">IF(Model!L23=0,"",Model!L23)</f>
        <v/>
      </c>
      <c r="O25" s="204" t="str">
        <f aca="false">IF(Model!M23=0,"",Model!M23)</f>
        <v/>
      </c>
      <c r="P25" s="204" t="n">
        <f aca="false">IF(Model!N23=0,"",Model!N23)</f>
        <v>154657.42123235</v>
      </c>
      <c r="Q25" s="204" t="n">
        <f aca="false">IF(Model!O23=0,"",Model!O23)</f>
        <v>201769.66876435</v>
      </c>
      <c r="R25" s="204" t="n">
        <f aca="false">IF(Model!P23=0,"",Model!P23)</f>
        <v>252480.97812735</v>
      </c>
      <c r="S25" s="204" t="n">
        <f aca="false">IF(Model!Q23=0,"",Model!Q23)</f>
        <v>304769.23491735</v>
      </c>
      <c r="T25" s="204" t="n">
        <f aca="false">IF(Model!R23=0,"",Model!R23)</f>
        <v>356121.88653535</v>
      </c>
      <c r="U25" s="204" t="n">
        <f aca="false">IF(Model!S23=0,"",Model!S23)</f>
        <v>403686.84624735</v>
      </c>
      <c r="V25" s="204" t="n">
        <f aca="false">IF(Model!T23=0,"",Model!T23)</f>
        <v>444544.12049235</v>
      </c>
      <c r="W25" s="204" t="n">
        <f aca="false">IF(Model!U23=0,"",Model!U23)</f>
        <v>475984.98139335</v>
      </c>
      <c r="X25" s="204" t="n">
        <f aca="false">IF(Model!V23=0,"",Model!V23)</f>
        <v>495813.77487735</v>
      </c>
      <c r="Y25" s="204" t="n">
        <f aca="false">IF(Model!W23=0,"",Model!W23)</f>
        <v>502589.36717135</v>
      </c>
      <c r="Z25" s="204" t="n">
        <f aca="false">IF(Model!X23=0,"",Model!X23)</f>
        <v>495813.77487735</v>
      </c>
      <c r="AA25" s="204" t="n">
        <f aca="false">IF(Model!Y23=0,"",Model!Y23)</f>
        <v>475984.98139335</v>
      </c>
      <c r="AB25" s="204" t="n">
        <f aca="false">IF(Model!Z23=0,"",Model!Z23)</f>
        <v>444544.12049235</v>
      </c>
      <c r="AC25" s="204" t="n">
        <f aca="false">IF(Model!AA23=0,"",Model!AA23)</f>
        <v>403686.84624735</v>
      </c>
      <c r="AD25" s="204" t="n">
        <f aca="false">IF(Model!AB23=0,"",Model!AB23)</f>
        <v>356121.88653535</v>
      </c>
      <c r="AE25" s="204" t="n">
        <f aca="false">IF(Model!AC23=0,"",Model!AC23)</f>
        <v>304769.23491735</v>
      </c>
      <c r="AF25" s="204" t="n">
        <f aca="false">IF(Model!AD23=0,"",Model!AD23)</f>
        <v>252480.97812735</v>
      </c>
      <c r="AG25" s="204" t="n">
        <f aca="false">IF(Model!AE23=0,"",Model!AE23)</f>
        <v>201769.66876435</v>
      </c>
      <c r="AH25" s="204" t="n">
        <f aca="false">IF(Model!AF23=0,"",Model!AF23)</f>
        <v>109238.6945137</v>
      </c>
      <c r="AI25" s="204" t="str">
        <f aca="false">IF(Model!AG23=0,"",Model!AG23)</f>
        <v/>
      </c>
      <c r="AJ25" s="204" t="str">
        <f aca="false">IF(Model!AH23=0,"",Model!AH23)</f>
        <v/>
      </c>
      <c r="AK25" s="204" t="str">
        <f aca="false">IF(Model!AI23=0,"",Model!AI23)</f>
        <v/>
      </c>
      <c r="AL25" s="204" t="str">
        <f aca="false">IF(Model!AJ23=0,"",Model!AJ23)</f>
        <v/>
      </c>
      <c r="AM25" s="204" t="str">
        <f aca="false">IF(Model!AK23=0,"",Model!AK23)</f>
        <v/>
      </c>
      <c r="AN25" s="204" t="str">
        <f aca="false">IF(Model!AL23=0,"",Model!AL23)</f>
        <v/>
      </c>
      <c r="AO25" s="204" t="str">
        <f aca="false">IF(Model!AM23=0,"",Model!AM23)</f>
        <v/>
      </c>
      <c r="AP25" s="204" t="str">
        <f aca="false">IF(Model!AN23=0,"",Model!AN23)</f>
        <v/>
      </c>
      <c r="AQ25" s="204" t="str">
        <f aca="false">IF(Model!AO23=0,"",Model!AO23)</f>
        <v/>
      </c>
      <c r="AR25" s="204" t="str">
        <f aca="false">IF(Model!AP23=0,"",Model!AP23)</f>
        <v/>
      </c>
      <c r="AS25" s="204" t="str">
        <f aca="false">IF(Model!AQ23=0,"",Model!AQ23)</f>
        <v/>
      </c>
      <c r="AT25" s="204" t="str">
        <f aca="false">IF(Model!AR23=0,"",Model!AR23)</f>
        <v/>
      </c>
      <c r="AU25" s="204" t="str">
        <f aca="false">IF(Model!AS23=0,"",Model!AS23)</f>
        <v/>
      </c>
      <c r="AV25" s="204" t="str">
        <f aca="false">IF(Model!AT23=0,"",Model!AT23)</f>
        <v/>
      </c>
      <c r="AW25" s="204" t="str">
        <f aca="false">IF(Model!AU23=0,"",Model!AU23)</f>
        <v/>
      </c>
      <c r="AX25" s="204" t="str">
        <f aca="false">IF(Model!AV23=0,"",Model!AV23)</f>
        <v/>
      </c>
      <c r="AY25" s="204" t="str">
        <f aca="false">IF(Model!AW23=0,"",Model!AW23)</f>
        <v/>
      </c>
      <c r="AZ25" s="204" t="str">
        <f aca="false">IF(Model!AX23=0,"",Model!AX23)</f>
        <v/>
      </c>
      <c r="BA25" s="204" t="str">
        <f aca="false">IF(Model!AY23=0,"",Model!AY23)</f>
        <v/>
      </c>
      <c r="BB25" s="204" t="str">
        <f aca="false">IF(Model!AZ23=0,"",Model!AZ23)</f>
        <v/>
      </c>
      <c r="BC25" s="204" t="str">
        <f aca="false">IF(Model!BA23=0,"",Model!BA23)</f>
        <v/>
      </c>
      <c r="BD25" s="204" t="str">
        <f aca="false">IF(Model!BB23=0,"",Model!BB23)</f>
        <v/>
      </c>
      <c r="BE25" s="204" t="str">
        <f aca="false">IF(Model!BC23=0,"",Model!BC23)</f>
        <v/>
      </c>
      <c r="BF25" s="204" t="str">
        <f aca="false">IF(Model!BD23=0,"",Model!BD23)</f>
        <v/>
      </c>
      <c r="BG25" s="204" t="str">
        <f aca="false">IF(Model!BE23=0,"",Model!BE23)</f>
        <v/>
      </c>
      <c r="BH25" s="204" t="str">
        <f aca="false">IF(Model!BF23=0,"",Model!BF23)</f>
        <v/>
      </c>
      <c r="BI25" s="204" t="str">
        <f aca="false">IF(Model!BG23=0,"",Model!BG23)</f>
        <v/>
      </c>
      <c r="BJ25" s="204" t="str">
        <f aca="false">IF(Model!BH23=0,"",Model!BH23)</f>
        <v/>
      </c>
      <c r="BK25" s="204" t="str">
        <f aca="false">IF(Model!BI23=0,"",Model!BI23)</f>
        <v/>
      </c>
      <c r="BL25" s="204" t="str">
        <f aca="false">IF(Model!BJ23=0,"",Model!BJ23)</f>
        <v/>
      </c>
      <c r="BM25" s="204" t="str">
        <f aca="false">IF(Model!BK23=0,"",Model!BK23)</f>
        <v/>
      </c>
      <c r="BN25" s="204" t="str">
        <f aca="false">IF(Model!BL23=0,"",Model!BL23)</f>
        <v/>
      </c>
      <c r="BO25" s="204" t="str">
        <f aca="false">IF(Model!BM23=0,"",Model!BM23)</f>
        <v/>
      </c>
      <c r="BP25" s="204" t="str">
        <f aca="false">IF(Model!BN23=0,"",Model!BN23)</f>
        <v/>
      </c>
      <c r="BQ25" s="204" t="str">
        <f aca="false">IF(Model!BO23=0,"",Model!BO23)</f>
        <v/>
      </c>
      <c r="BR25" s="204" t="str">
        <f aca="false">IF(Model!BP23=0,"",Model!BP23)</f>
        <v/>
      </c>
      <c r="BS25" s="204" t="str">
        <f aca="false">IF(Model!BQ23=0,"",Model!BQ23)</f>
        <v/>
      </c>
      <c r="BT25" s="204" t="str">
        <f aca="false">IF(Model!BR23=0,"",Model!BR23)</f>
        <v/>
      </c>
      <c r="BU25" s="204" t="str">
        <f aca="false">IF(Model!BS23=0,"",Model!BS23)</f>
        <v/>
      </c>
      <c r="BV25" s="204" t="str">
        <f aca="false">IF(Model!BT23=0,"",Model!BT23)</f>
        <v/>
      </c>
      <c r="BW25" s="204" t="str">
        <f aca="false">IF(Model!BU23=0,"",Model!BU23)</f>
        <v/>
      </c>
      <c r="BX25" s="204" t="str">
        <f aca="false">IF(Model!BV23=0,"",Model!BV23)</f>
        <v/>
      </c>
      <c r="BY25" s="204" t="str">
        <f aca="false">IF(Model!BW23=0,"",Model!BW23)</f>
        <v/>
      </c>
      <c r="BZ25" s="204" t="str">
        <f aca="false">IF(Model!BX23=0,"",Model!BX23)</f>
        <v/>
      </c>
      <c r="CA25" s="204" t="str">
        <f aca="false">IF(Model!BY23=0,"",Model!BY23)</f>
        <v/>
      </c>
      <c r="CB25" s="204" t="str">
        <f aca="false">IF(Model!BZ23=0,"",Model!BZ23)</f>
        <v/>
      </c>
      <c r="CC25" s="204" t="str">
        <f aca="false">IF(Model!CA23=0,"",Model!CA23)</f>
        <v/>
      </c>
      <c r="CD25" s="204" t="str">
        <f aca="false">IF(Model!CB23=0,"",Model!CB23)</f>
        <v/>
      </c>
      <c r="CE25" s="204" t="str">
        <f aca="false">IF(Model!CC23=0,"",Model!CC23)</f>
        <v/>
      </c>
      <c r="CF25" s="204" t="str">
        <f aca="false">IF(Model!CD23=0,"",Model!CD23)</f>
        <v/>
      </c>
      <c r="CG25" s="204" t="str">
        <f aca="false">IF(Model!CE23=0,"",Model!CE23)</f>
        <v/>
      </c>
      <c r="CH25" s="204" t="str">
        <f aca="false">IF(Model!CF23=0,"",Model!CF23)</f>
        <v/>
      </c>
      <c r="CI25" s="204" t="str">
        <f aca="false">IF(Model!CG23=0,"",Model!CG23)</f>
        <v/>
      </c>
      <c r="CJ25" s="204" t="str">
        <f aca="false">IF(Model!CH23=0,"",Model!CH23)</f>
        <v/>
      </c>
      <c r="CK25" s="204" t="str">
        <f aca="false">IF(Model!CI23=0,"",Model!CI23)</f>
        <v/>
      </c>
      <c r="CL25" s="204" t="str">
        <f aca="false">IF(Model!CJ23=0,"",Model!CJ23)</f>
        <v/>
      </c>
      <c r="CM25" s="204" t="str">
        <f aca="false">IF(Model!CK23=0,"",Model!CK23)</f>
        <v/>
      </c>
      <c r="CN25" s="204" t="str">
        <f aca="false">IF(Model!CL23=0,"",Model!CL23)</f>
        <v/>
      </c>
      <c r="CO25" s="204" t="str">
        <f aca="false">IF(Model!CM23=0,"",Model!CM23)</f>
        <v/>
      </c>
      <c r="CP25" s="204" t="str">
        <f aca="false">IF(Model!CN23=0,"",Model!CN23)</f>
        <v/>
      </c>
      <c r="CQ25" s="204" t="str">
        <f aca="false">IF(Model!CO23=0,"",Model!CO23)</f>
        <v/>
      </c>
      <c r="CR25" s="204" t="str">
        <f aca="false">IF(Model!CP23=0,"",Model!CP23)</f>
        <v/>
      </c>
      <c r="CS25" s="204" t="str">
        <f aca="false">IF(Model!CQ23=0,"",Model!CQ23)</f>
        <v/>
      </c>
      <c r="CT25" s="204" t="str">
        <f aca="false">IF(Model!CR23=0,"",Model!CR23)</f>
        <v/>
      </c>
      <c r="CU25" s="204" t="str">
        <f aca="false">IF(Model!CS23=0,"",Model!CS23)</f>
        <v/>
      </c>
      <c r="CV25" s="204" t="str">
        <f aca="false">IF(Model!CT23=0,"",Model!CT23)</f>
        <v/>
      </c>
      <c r="CW25" s="204" t="str">
        <f aca="false">IF(Model!CU23=0,"",Model!CU23)</f>
        <v/>
      </c>
      <c r="CX25" s="204" t="str">
        <f aca="false">IF(Model!CV23=0,"",Model!CV23)</f>
        <v/>
      </c>
      <c r="CY25" s="204" t="str">
        <f aca="false">IF(Model!CW23=0,"",Model!CW23)</f>
        <v/>
      </c>
      <c r="CZ25" s="204" t="str">
        <f aca="false">IF(Model!CX23=0,"",Model!CX23)</f>
        <v/>
      </c>
      <c r="DA25" s="204" t="str">
        <f aca="false">IF(Model!CY23=0,"",Model!CY23)</f>
        <v/>
      </c>
      <c r="DB25" s="204" t="str">
        <f aca="false">IF(Model!CZ23=0,"",Model!CZ23)</f>
        <v/>
      </c>
    </row>
    <row r="26" customFormat="false" ht="15" hidden="false" customHeight="true" outlineLevel="0" collapsed="false">
      <c r="A26" s="123" t="s">
        <v>23</v>
      </c>
      <c r="B26" s="201" t="n">
        <f aca="false">Projects!$B$20</f>
        <v>25026330.58</v>
      </c>
      <c r="C26" s="202" t="n">
        <f aca="false">EDATE(Model!$E$2,Projects!$C$20-1)</f>
        <v>46692</v>
      </c>
      <c r="D26" s="202" t="n">
        <f aca="false">EDATE(Model!$E$2,Projects!$C$20+Projects!$D$20-2)</f>
        <v>47392</v>
      </c>
      <c r="E26" s="203" t="n">
        <f aca="false">Projects!$D$20</f>
        <v>24</v>
      </c>
      <c r="F26" s="201" t="n">
        <f aca="false">SUM(G26:DB26)</f>
        <v>0</v>
      </c>
      <c r="G26" s="204" t="str">
        <f aca="false">IF(Model!E29=0,"",Model!E29)</f>
        <v/>
      </c>
      <c r="H26" s="204" t="str">
        <f aca="false">IF(Model!F29=0,"",Model!F29)</f>
        <v/>
      </c>
      <c r="I26" s="204" t="str">
        <f aca="false">IF(Model!G29=0,"",Model!G29)</f>
        <v/>
      </c>
      <c r="J26" s="204" t="str">
        <f aca="false">IF(Model!H29=0,"",Model!H29)</f>
        <v/>
      </c>
      <c r="K26" s="204" t="str">
        <f aca="false">IF(Model!I29=0,"",Model!I29)</f>
        <v/>
      </c>
      <c r="L26" s="204" t="str">
        <f aca="false">IF(Model!J29=0,"",Model!J29)</f>
        <v/>
      </c>
      <c r="M26" s="204" t="str">
        <f aca="false">IF(Model!K29=0,"",Model!K29)</f>
        <v/>
      </c>
      <c r="N26" s="204" t="str">
        <f aca="false">IF(Model!L29=0,"",Model!L29)</f>
        <v/>
      </c>
      <c r="O26" s="204" t="str">
        <f aca="false">IF(Model!M29=0,"",Model!M29)</f>
        <v/>
      </c>
      <c r="P26" s="204" t="str">
        <f aca="false">IF(Model!N29=0,"",Model!N29)</f>
        <v/>
      </c>
      <c r="Q26" s="204" t="str">
        <f aca="false">IF(Model!O29=0,"",Model!O29)</f>
        <v/>
      </c>
      <c r="R26" s="204" t="str">
        <f aca="false">IF(Model!P29=0,"",Model!P29)</f>
        <v/>
      </c>
      <c r="S26" s="204" t="str">
        <f aca="false">IF(Model!Q29=0,"",Model!Q29)</f>
        <v/>
      </c>
      <c r="T26" s="204" t="str">
        <f aca="false">IF(Model!R29=0,"",Model!R29)</f>
        <v/>
      </c>
      <c r="U26" s="204" t="str">
        <f aca="false">IF(Model!S29=0,"",Model!S29)</f>
        <v/>
      </c>
      <c r="V26" s="204" t="str">
        <f aca="false">IF(Model!T29=0,"",Model!T29)</f>
        <v/>
      </c>
      <c r="W26" s="204" t="str">
        <f aca="false">IF(Model!U29=0,"",Model!U29)</f>
        <v/>
      </c>
      <c r="X26" s="204" t="str">
        <f aca="false">IF(Model!V29=0,"",Model!V29)</f>
        <v/>
      </c>
      <c r="Y26" s="204" t="str">
        <f aca="false">IF(Model!W29=0,"",Model!W29)</f>
        <v/>
      </c>
      <c r="Z26" s="204" t="str">
        <f aca="false">IF(Model!X29=0,"",Model!X29)</f>
        <v/>
      </c>
      <c r="AA26" s="204" t="str">
        <f aca="false">IF(Model!Y29=0,"",Model!Y29)</f>
        <v/>
      </c>
      <c r="AB26" s="204" t="str">
        <f aca="false">IF(Model!Z29=0,"",Model!Z29)</f>
        <v/>
      </c>
      <c r="AC26" s="204" t="str">
        <f aca="false">IF(Model!AA29=0,"",Model!AA29)</f>
        <v/>
      </c>
      <c r="AD26" s="204" t="str">
        <f aca="false">IF(Model!AB29=0,"",Model!AB29)</f>
        <v/>
      </c>
      <c r="AE26" s="204" t="str">
        <f aca="false">IF(Model!AC29=0,"",Model!AC29)</f>
        <v/>
      </c>
      <c r="AF26" s="204" t="str">
        <f aca="false">IF(Model!AD29=0,"",Model!AD29)</f>
        <v/>
      </c>
      <c r="AG26" s="204" t="str">
        <f aca="false">IF(Model!AE29=0,"",Model!AE29)</f>
        <v/>
      </c>
      <c r="AH26" s="204" t="str">
        <f aca="false">IF(Model!AF29=0,"",Model!AF29)</f>
        <v/>
      </c>
      <c r="AI26" s="204" t="str">
        <f aca="false">IF(Model!AG29=0,"",Model!AG29)</f>
        <v/>
      </c>
      <c r="AJ26" s="204" t="str">
        <f aca="false">IF(Model!AH29=0,"",Model!AH29)</f>
        <v/>
      </c>
      <c r="AK26" s="204" t="str">
        <f aca="false">IF(Model!AI29=0,"",Model!AI29)</f>
        <v/>
      </c>
      <c r="AL26" s="204" t="str">
        <f aca="false">IF(Model!AJ29=0,"",Model!AJ29)</f>
        <v/>
      </c>
      <c r="AM26" s="204" t="str">
        <f aca="false">IF(Model!AK29=0,"",Model!AK29)</f>
        <v/>
      </c>
      <c r="AN26" s="204" t="str">
        <f aca="false">IF(Model!AL29=0,"",Model!AL29)</f>
        <v/>
      </c>
      <c r="AO26" s="204" t="str">
        <f aca="false">IF(Model!AM29=0,"",Model!AM29)</f>
        <v/>
      </c>
      <c r="AP26" s="204" t="str">
        <f aca="false">IF(Model!AN29=0,"",Model!AN29)</f>
        <v/>
      </c>
      <c r="AQ26" s="204" t="str">
        <f aca="false">IF(Model!AO29=0,"",Model!AO29)</f>
        <v/>
      </c>
      <c r="AR26" s="204" t="str">
        <f aca="false">IF(Model!AP29=0,"",Model!AP29)</f>
        <v/>
      </c>
      <c r="AS26" s="204" t="str">
        <f aca="false">IF(Model!AQ29=0,"",Model!AQ29)</f>
        <v/>
      </c>
      <c r="AT26" s="204" t="str">
        <f aca="false">IF(Model!AR29=0,"",Model!AR29)</f>
        <v/>
      </c>
      <c r="AU26" s="204" t="str">
        <f aca="false">IF(Model!AS29=0,"",Model!AS29)</f>
        <v/>
      </c>
      <c r="AV26" s="204" t="str">
        <f aca="false">IF(Model!AT29=0,"",Model!AT29)</f>
        <v/>
      </c>
      <c r="AW26" s="204" t="str">
        <f aca="false">IF(Model!AU29=0,"",Model!AU29)</f>
        <v/>
      </c>
      <c r="AX26" s="204" t="str">
        <f aca="false">IF(Model!AV29=0,"",Model!AV29)</f>
        <v/>
      </c>
      <c r="AY26" s="204" t="str">
        <f aca="false">IF(Model!AW29=0,"",Model!AW29)</f>
        <v/>
      </c>
      <c r="AZ26" s="204" t="str">
        <f aca="false">IF(Model!AX29=0,"",Model!AX29)</f>
        <v/>
      </c>
      <c r="BA26" s="204" t="str">
        <f aca="false">IF(Model!AY29=0,"",Model!AY29)</f>
        <v/>
      </c>
      <c r="BB26" s="204" t="str">
        <f aca="false">IF(Model!AZ29=0,"",Model!AZ29)</f>
        <v/>
      </c>
      <c r="BC26" s="204" t="str">
        <f aca="false">IF(Model!BA29=0,"",Model!BA29)</f>
        <v/>
      </c>
      <c r="BD26" s="204" t="str">
        <f aca="false">IF(Model!BB29=0,"",Model!BB29)</f>
        <v/>
      </c>
      <c r="BE26" s="204" t="str">
        <f aca="false">IF(Model!BC29=0,"",Model!BC29)</f>
        <v/>
      </c>
      <c r="BF26" s="204" t="str">
        <f aca="false">IF(Model!BD29=0,"",Model!BD29)</f>
        <v/>
      </c>
      <c r="BG26" s="204" t="str">
        <f aca="false">IF(Model!BE29=0,"",Model!BE29)</f>
        <v/>
      </c>
      <c r="BH26" s="204" t="str">
        <f aca="false">IF(Model!BF29=0,"",Model!BF29)</f>
        <v/>
      </c>
      <c r="BI26" s="204" t="str">
        <f aca="false">IF(Model!BG29=0,"",Model!BG29)</f>
        <v/>
      </c>
      <c r="BJ26" s="204" t="str">
        <f aca="false">IF(Model!BH29=0,"",Model!BH29)</f>
        <v/>
      </c>
      <c r="BK26" s="204" t="str">
        <f aca="false">IF(Model!BI29=0,"",Model!BI29)</f>
        <v/>
      </c>
      <c r="BL26" s="204" t="str">
        <f aca="false">IF(Model!BJ29=0,"",Model!BJ29)</f>
        <v/>
      </c>
      <c r="BM26" s="204" t="str">
        <f aca="false">IF(Model!BK29=0,"",Model!BK29)</f>
        <v/>
      </c>
      <c r="BN26" s="204" t="str">
        <f aca="false">IF(Model!BL29=0,"",Model!BL29)</f>
        <v/>
      </c>
      <c r="BO26" s="204" t="str">
        <f aca="false">IF(Model!BM29=0,"",Model!BM29)</f>
        <v/>
      </c>
      <c r="BP26" s="204" t="str">
        <f aca="false">IF(Model!BN29=0,"",Model!BN29)</f>
        <v/>
      </c>
      <c r="BQ26" s="204" t="str">
        <f aca="false">IF(Model!BO29=0,"",Model!BO29)</f>
        <v/>
      </c>
      <c r="BR26" s="204" t="str">
        <f aca="false">IF(Model!BP29=0,"",Model!BP29)</f>
        <v/>
      </c>
      <c r="BS26" s="204" t="str">
        <f aca="false">IF(Model!BQ29=0,"",Model!BQ29)</f>
        <v/>
      </c>
      <c r="BT26" s="204" t="str">
        <f aca="false">IF(Model!BR29=0,"",Model!BR29)</f>
        <v/>
      </c>
      <c r="BU26" s="204" t="str">
        <f aca="false">IF(Model!BS29=0,"",Model!BS29)</f>
        <v/>
      </c>
      <c r="BV26" s="204" t="str">
        <f aca="false">IF(Model!BT29=0,"",Model!BT29)</f>
        <v/>
      </c>
      <c r="BW26" s="204" t="str">
        <f aca="false">IF(Model!BU29=0,"",Model!BU29)</f>
        <v/>
      </c>
      <c r="BX26" s="204" t="str">
        <f aca="false">IF(Model!BV29=0,"",Model!BV29)</f>
        <v/>
      </c>
      <c r="BY26" s="204" t="str">
        <f aca="false">IF(Model!BW29=0,"",Model!BW29)</f>
        <v/>
      </c>
      <c r="BZ26" s="204" t="str">
        <f aca="false">IF(Model!BX29=0,"",Model!BX29)</f>
        <v/>
      </c>
      <c r="CA26" s="204" t="str">
        <f aca="false">IF(Model!BY29=0,"",Model!BY29)</f>
        <v/>
      </c>
      <c r="CB26" s="204" t="str">
        <f aca="false">IF(Model!BZ29=0,"",Model!BZ29)</f>
        <v/>
      </c>
      <c r="CC26" s="204" t="str">
        <f aca="false">IF(Model!CA29=0,"",Model!CA29)</f>
        <v/>
      </c>
      <c r="CD26" s="204" t="str">
        <f aca="false">IF(Model!CB29=0,"",Model!CB29)</f>
        <v/>
      </c>
      <c r="CE26" s="204" t="str">
        <f aca="false">IF(Model!CC29=0,"",Model!CC29)</f>
        <v/>
      </c>
      <c r="CF26" s="204" t="str">
        <f aca="false">IF(Model!CD29=0,"",Model!CD29)</f>
        <v/>
      </c>
      <c r="CG26" s="204" t="str">
        <f aca="false">IF(Model!CE29=0,"",Model!CE29)</f>
        <v/>
      </c>
      <c r="CH26" s="204" t="str">
        <f aca="false">IF(Model!CF29=0,"",Model!CF29)</f>
        <v/>
      </c>
      <c r="CI26" s="204" t="str">
        <f aca="false">IF(Model!CG29=0,"",Model!CG29)</f>
        <v/>
      </c>
      <c r="CJ26" s="204" t="str">
        <f aca="false">IF(Model!CH29=0,"",Model!CH29)</f>
        <v/>
      </c>
      <c r="CK26" s="204" t="str">
        <f aca="false">IF(Model!CI29=0,"",Model!CI29)</f>
        <v/>
      </c>
      <c r="CL26" s="204" t="str">
        <f aca="false">IF(Model!CJ29=0,"",Model!CJ29)</f>
        <v/>
      </c>
      <c r="CM26" s="204" t="str">
        <f aca="false">IF(Model!CK29=0,"",Model!CK29)</f>
        <v/>
      </c>
      <c r="CN26" s="204" t="str">
        <f aca="false">IF(Model!CL29=0,"",Model!CL29)</f>
        <v/>
      </c>
      <c r="CO26" s="204" t="str">
        <f aca="false">IF(Model!CM29=0,"",Model!CM29)</f>
        <v/>
      </c>
      <c r="CP26" s="204" t="str">
        <f aca="false">IF(Model!CN29=0,"",Model!CN29)</f>
        <v/>
      </c>
      <c r="CQ26" s="204" t="str">
        <f aca="false">IF(Model!CO29=0,"",Model!CO29)</f>
        <v/>
      </c>
      <c r="CR26" s="204" t="str">
        <f aca="false">IF(Model!CP29=0,"",Model!CP29)</f>
        <v/>
      </c>
      <c r="CS26" s="204" t="str">
        <f aca="false">IF(Model!CQ29=0,"",Model!CQ29)</f>
        <v/>
      </c>
      <c r="CT26" s="204" t="str">
        <f aca="false">IF(Model!CR29=0,"",Model!CR29)</f>
        <v/>
      </c>
      <c r="CU26" s="204" t="str">
        <f aca="false">IF(Model!CS29=0,"",Model!CS29)</f>
        <v/>
      </c>
      <c r="CV26" s="204" t="str">
        <f aca="false">IF(Model!CT29=0,"",Model!CT29)</f>
        <v/>
      </c>
      <c r="CW26" s="204" t="str">
        <f aca="false">IF(Model!CU29=0,"",Model!CU29)</f>
        <v/>
      </c>
      <c r="CX26" s="204" t="str">
        <f aca="false">IF(Model!CV29=0,"",Model!CV29)</f>
        <v/>
      </c>
      <c r="CY26" s="204" t="str">
        <f aca="false">IF(Model!CW29=0,"",Model!CW29)</f>
        <v/>
      </c>
      <c r="CZ26" s="204" t="str">
        <f aca="false">IF(Model!CX29=0,"",Model!CX29)</f>
        <v/>
      </c>
      <c r="DA26" s="204" t="str">
        <f aca="false">IF(Model!CY29=0,"",Model!CY29)</f>
        <v/>
      </c>
      <c r="DB26" s="204" t="str">
        <f aca="false">IF(Model!CZ29=0,"",Model!CZ29)</f>
        <v/>
      </c>
    </row>
    <row r="27" customFormat="false" ht="15" hidden="false" customHeight="true" outlineLevel="0" collapsed="false">
      <c r="A27" s="123" t="s">
        <v>24</v>
      </c>
      <c r="B27" s="201" t="n">
        <f aca="false">Projects!$B$21</f>
        <v>14935493</v>
      </c>
      <c r="C27" s="202" t="n">
        <f aca="false">EDATE(Model!$E$2,Projects!$C$21-1)</f>
        <v>46357</v>
      </c>
      <c r="D27" s="202" t="n">
        <f aca="false">EDATE(Model!$E$2,Projects!$C$21+Projects!$D$21-2)</f>
        <v>46935</v>
      </c>
      <c r="E27" s="203" t="n">
        <f aca="false">Projects!$D$21</f>
        <v>20</v>
      </c>
      <c r="F27" s="201" t="n">
        <f aca="false">SUM(G27:DB27)</f>
        <v>13320565</v>
      </c>
      <c r="G27" s="204" t="str">
        <f aca="false">IF(Model!E30=0,"",Model!E30)</f>
        <v/>
      </c>
      <c r="H27" s="204" t="str">
        <f aca="false">IF(Model!F30=0,"",Model!F30)</f>
        <v/>
      </c>
      <c r="I27" s="204" t="str">
        <f aca="false">IF(Model!G30=0,"",Model!G30)</f>
        <v/>
      </c>
      <c r="J27" s="204" t="str">
        <f aca="false">IF(Model!H30=0,"",Model!H30)</f>
        <v/>
      </c>
      <c r="K27" s="204" t="str">
        <f aca="false">IF(Model!I30=0,"",Model!I30)</f>
        <v/>
      </c>
      <c r="L27" s="204" t="str">
        <f aca="false">IF(Model!J30=0,"",Model!J30)</f>
        <v/>
      </c>
      <c r="M27" s="204" t="str">
        <f aca="false">IF(Model!K30=0,"",Model!K30)</f>
        <v/>
      </c>
      <c r="N27" s="204" t="str">
        <f aca="false">IF(Model!L30=0,"",Model!L30)</f>
        <v/>
      </c>
      <c r="O27" s="204" t="n">
        <f aca="false">IF(Model!M30=0,"",Model!M30)</f>
        <v>300000.450999356</v>
      </c>
      <c r="P27" s="204" t="n">
        <f aca="false">IF(Model!N30=0,"",Model!N30)</f>
        <v>382052.01181668</v>
      </c>
      <c r="Q27" s="204" t="n">
        <f aca="false">IF(Model!O30=0,"",Model!O30)</f>
        <v>472250.553751396</v>
      </c>
      <c r="R27" s="204" t="n">
        <f aca="false">IF(Model!P30=0,"",Model!P30)</f>
        <v>565406.855777904</v>
      </c>
      <c r="S27" s="204" t="n">
        <f aca="false">IF(Model!Q30=0,"",Model!Q30)</f>
        <v>657569.069128027</v>
      </c>
      <c r="T27" s="204" t="n">
        <f aca="false">IF(Model!R30=0,"",Model!R30)</f>
        <v>744252.607264895</v>
      </c>
      <c r="U27" s="204" t="n">
        <f aca="false">IF(Model!S30=0,"",Model!S30)</f>
        <v>820806.669467804</v>
      </c>
      <c r="V27" s="204" t="n">
        <f aca="false">IF(Model!T30=0,"",Model!T30)</f>
        <v>882806.690988486</v>
      </c>
      <c r="W27" s="204" t="n">
        <f aca="false">IF(Model!U30=0,"",Model!U30)</f>
        <v>926473.074937312</v>
      </c>
      <c r="X27" s="204" t="n">
        <f aca="false">IF(Model!V30=0,"",Model!V30)</f>
        <v>949037.715868141</v>
      </c>
      <c r="Y27" s="204" t="n">
        <f aca="false">IF(Model!W30=0,"",Model!W30)</f>
        <v>949037.715868141</v>
      </c>
      <c r="Z27" s="204" t="n">
        <f aca="false">IF(Model!X30=0,"",Model!X30)</f>
        <v>926473.074937312</v>
      </c>
      <c r="AA27" s="204" t="n">
        <f aca="false">IF(Model!Y30=0,"",Model!Y30)</f>
        <v>882806.690988486</v>
      </c>
      <c r="AB27" s="204" t="n">
        <f aca="false">IF(Model!Z30=0,"",Model!Z30)</f>
        <v>820806.669467804</v>
      </c>
      <c r="AC27" s="204" t="n">
        <f aca="false">IF(Model!AA30=0,"",Model!AA30)</f>
        <v>744252.607264895</v>
      </c>
      <c r="AD27" s="204" t="n">
        <f aca="false">IF(Model!AB30=0,"",Model!AB30)</f>
        <v>657569.069128027</v>
      </c>
      <c r="AE27" s="204" t="n">
        <f aca="false">IF(Model!AC30=0,"",Model!AC30)</f>
        <v>565406.855777904</v>
      </c>
      <c r="AF27" s="204" t="n">
        <f aca="false">IF(Model!AD30=0,"",Model!AD30)</f>
        <v>472250.553751396</v>
      </c>
      <c r="AG27" s="204" t="n">
        <f aca="false">IF(Model!AE30=0,"",Model!AE30)</f>
        <v>382052.01181668</v>
      </c>
      <c r="AH27" s="204" t="n">
        <f aca="false">IF(Model!AF30=0,"",Model!AF30)</f>
        <v>219254.050999356</v>
      </c>
      <c r="AI27" s="204" t="str">
        <f aca="false">IF(Model!AG30=0,"",Model!AG30)</f>
        <v/>
      </c>
      <c r="AJ27" s="204" t="str">
        <f aca="false">IF(Model!AH30=0,"",Model!AH30)</f>
        <v/>
      </c>
      <c r="AK27" s="204" t="str">
        <f aca="false">IF(Model!AI30=0,"",Model!AI30)</f>
        <v/>
      </c>
      <c r="AL27" s="204" t="str">
        <f aca="false">IF(Model!AJ30=0,"",Model!AJ30)</f>
        <v/>
      </c>
      <c r="AM27" s="204" t="str">
        <f aca="false">IF(Model!AK30=0,"",Model!AK30)</f>
        <v/>
      </c>
      <c r="AN27" s="204" t="str">
        <f aca="false">IF(Model!AL30=0,"",Model!AL30)</f>
        <v/>
      </c>
      <c r="AO27" s="204" t="str">
        <f aca="false">IF(Model!AM30=0,"",Model!AM30)</f>
        <v/>
      </c>
      <c r="AP27" s="204" t="str">
        <f aca="false">IF(Model!AN30=0,"",Model!AN30)</f>
        <v/>
      </c>
      <c r="AQ27" s="204" t="str">
        <f aca="false">IF(Model!AO30=0,"",Model!AO30)</f>
        <v/>
      </c>
      <c r="AR27" s="204" t="str">
        <f aca="false">IF(Model!AP30=0,"",Model!AP30)</f>
        <v/>
      </c>
      <c r="AS27" s="204" t="str">
        <f aca="false">IF(Model!AQ30=0,"",Model!AQ30)</f>
        <v/>
      </c>
      <c r="AT27" s="204" t="str">
        <f aca="false">IF(Model!AR30=0,"",Model!AR30)</f>
        <v/>
      </c>
      <c r="AU27" s="204" t="str">
        <f aca="false">IF(Model!AS30=0,"",Model!AS30)</f>
        <v/>
      </c>
      <c r="AV27" s="204" t="str">
        <f aca="false">IF(Model!AT30=0,"",Model!AT30)</f>
        <v/>
      </c>
      <c r="AW27" s="204" t="str">
        <f aca="false">IF(Model!AU30=0,"",Model!AU30)</f>
        <v/>
      </c>
      <c r="AX27" s="204" t="str">
        <f aca="false">IF(Model!AV30=0,"",Model!AV30)</f>
        <v/>
      </c>
      <c r="AY27" s="204" t="str">
        <f aca="false">IF(Model!AW30=0,"",Model!AW30)</f>
        <v/>
      </c>
      <c r="AZ27" s="204" t="str">
        <f aca="false">IF(Model!AX30=0,"",Model!AX30)</f>
        <v/>
      </c>
      <c r="BA27" s="204" t="str">
        <f aca="false">IF(Model!AY30=0,"",Model!AY30)</f>
        <v/>
      </c>
      <c r="BB27" s="204" t="str">
        <f aca="false">IF(Model!AZ30=0,"",Model!AZ30)</f>
        <v/>
      </c>
      <c r="BC27" s="204" t="str">
        <f aca="false">IF(Model!BA30=0,"",Model!BA30)</f>
        <v/>
      </c>
      <c r="BD27" s="204" t="str">
        <f aca="false">IF(Model!BB30=0,"",Model!BB30)</f>
        <v/>
      </c>
      <c r="BE27" s="204" t="str">
        <f aca="false">IF(Model!BC30=0,"",Model!BC30)</f>
        <v/>
      </c>
      <c r="BF27" s="204" t="str">
        <f aca="false">IF(Model!BD30=0,"",Model!BD30)</f>
        <v/>
      </c>
      <c r="BG27" s="204" t="str">
        <f aca="false">IF(Model!BE30=0,"",Model!BE30)</f>
        <v/>
      </c>
      <c r="BH27" s="204" t="str">
        <f aca="false">IF(Model!BF30=0,"",Model!BF30)</f>
        <v/>
      </c>
      <c r="BI27" s="204" t="str">
        <f aca="false">IF(Model!BG30=0,"",Model!BG30)</f>
        <v/>
      </c>
      <c r="BJ27" s="204" t="str">
        <f aca="false">IF(Model!BH30=0,"",Model!BH30)</f>
        <v/>
      </c>
      <c r="BK27" s="204" t="str">
        <f aca="false">IF(Model!BI30=0,"",Model!BI30)</f>
        <v/>
      </c>
      <c r="BL27" s="204" t="str">
        <f aca="false">IF(Model!BJ30=0,"",Model!BJ30)</f>
        <v/>
      </c>
      <c r="BM27" s="204" t="str">
        <f aca="false">IF(Model!BK30=0,"",Model!BK30)</f>
        <v/>
      </c>
      <c r="BN27" s="204" t="str">
        <f aca="false">IF(Model!BL30=0,"",Model!BL30)</f>
        <v/>
      </c>
      <c r="BO27" s="204" t="str">
        <f aca="false">IF(Model!BM30=0,"",Model!BM30)</f>
        <v/>
      </c>
      <c r="BP27" s="204" t="str">
        <f aca="false">IF(Model!BN30=0,"",Model!BN30)</f>
        <v/>
      </c>
      <c r="BQ27" s="204" t="str">
        <f aca="false">IF(Model!BO30=0,"",Model!BO30)</f>
        <v/>
      </c>
      <c r="BR27" s="204" t="str">
        <f aca="false">IF(Model!BP30=0,"",Model!BP30)</f>
        <v/>
      </c>
      <c r="BS27" s="204" t="str">
        <f aca="false">IF(Model!BQ30=0,"",Model!BQ30)</f>
        <v/>
      </c>
      <c r="BT27" s="204" t="str">
        <f aca="false">IF(Model!BR30=0,"",Model!BR30)</f>
        <v/>
      </c>
      <c r="BU27" s="204" t="str">
        <f aca="false">IF(Model!BS30=0,"",Model!BS30)</f>
        <v/>
      </c>
      <c r="BV27" s="204" t="str">
        <f aca="false">IF(Model!BT30=0,"",Model!BT30)</f>
        <v/>
      </c>
      <c r="BW27" s="204" t="str">
        <f aca="false">IF(Model!BU30=0,"",Model!BU30)</f>
        <v/>
      </c>
      <c r="BX27" s="204" t="str">
        <f aca="false">IF(Model!BV30=0,"",Model!BV30)</f>
        <v/>
      </c>
      <c r="BY27" s="204" t="str">
        <f aca="false">IF(Model!BW30=0,"",Model!BW30)</f>
        <v/>
      </c>
      <c r="BZ27" s="204" t="str">
        <f aca="false">IF(Model!BX30=0,"",Model!BX30)</f>
        <v/>
      </c>
      <c r="CA27" s="204" t="str">
        <f aca="false">IF(Model!BY30=0,"",Model!BY30)</f>
        <v/>
      </c>
      <c r="CB27" s="204" t="str">
        <f aca="false">IF(Model!BZ30=0,"",Model!BZ30)</f>
        <v/>
      </c>
      <c r="CC27" s="204" t="str">
        <f aca="false">IF(Model!CA30=0,"",Model!CA30)</f>
        <v/>
      </c>
      <c r="CD27" s="204" t="str">
        <f aca="false">IF(Model!CB30=0,"",Model!CB30)</f>
        <v/>
      </c>
      <c r="CE27" s="204" t="str">
        <f aca="false">IF(Model!CC30=0,"",Model!CC30)</f>
        <v/>
      </c>
      <c r="CF27" s="204" t="str">
        <f aca="false">IF(Model!CD30=0,"",Model!CD30)</f>
        <v/>
      </c>
      <c r="CG27" s="204" t="str">
        <f aca="false">IF(Model!CE30=0,"",Model!CE30)</f>
        <v/>
      </c>
      <c r="CH27" s="204" t="str">
        <f aca="false">IF(Model!CF30=0,"",Model!CF30)</f>
        <v/>
      </c>
      <c r="CI27" s="204" t="str">
        <f aca="false">IF(Model!CG30=0,"",Model!CG30)</f>
        <v/>
      </c>
      <c r="CJ27" s="204" t="str">
        <f aca="false">IF(Model!CH30=0,"",Model!CH30)</f>
        <v/>
      </c>
      <c r="CK27" s="204" t="str">
        <f aca="false">IF(Model!CI30=0,"",Model!CI30)</f>
        <v/>
      </c>
      <c r="CL27" s="204" t="str">
        <f aca="false">IF(Model!CJ30=0,"",Model!CJ30)</f>
        <v/>
      </c>
      <c r="CM27" s="204" t="str">
        <f aca="false">IF(Model!CK30=0,"",Model!CK30)</f>
        <v/>
      </c>
      <c r="CN27" s="204" t="str">
        <f aca="false">IF(Model!CL30=0,"",Model!CL30)</f>
        <v/>
      </c>
      <c r="CO27" s="204" t="str">
        <f aca="false">IF(Model!CM30=0,"",Model!CM30)</f>
        <v/>
      </c>
      <c r="CP27" s="204" t="str">
        <f aca="false">IF(Model!CN30=0,"",Model!CN30)</f>
        <v/>
      </c>
      <c r="CQ27" s="204" t="str">
        <f aca="false">IF(Model!CO30=0,"",Model!CO30)</f>
        <v/>
      </c>
      <c r="CR27" s="204" t="str">
        <f aca="false">IF(Model!CP30=0,"",Model!CP30)</f>
        <v/>
      </c>
      <c r="CS27" s="204" t="str">
        <f aca="false">IF(Model!CQ30=0,"",Model!CQ30)</f>
        <v/>
      </c>
      <c r="CT27" s="204" t="str">
        <f aca="false">IF(Model!CR30=0,"",Model!CR30)</f>
        <v/>
      </c>
      <c r="CU27" s="204" t="str">
        <f aca="false">IF(Model!CS30=0,"",Model!CS30)</f>
        <v/>
      </c>
      <c r="CV27" s="204" t="str">
        <f aca="false">IF(Model!CT30=0,"",Model!CT30)</f>
        <v/>
      </c>
      <c r="CW27" s="204" t="str">
        <f aca="false">IF(Model!CU30=0,"",Model!CU30)</f>
        <v/>
      </c>
      <c r="CX27" s="204" t="str">
        <f aca="false">IF(Model!CV30=0,"",Model!CV30)</f>
        <v/>
      </c>
      <c r="CY27" s="204" t="str">
        <f aca="false">IF(Model!CW30=0,"",Model!CW30)</f>
        <v/>
      </c>
      <c r="CZ27" s="204" t="str">
        <f aca="false">IF(Model!CX30=0,"",Model!CX30)</f>
        <v/>
      </c>
      <c r="DA27" s="204" t="str">
        <f aca="false">IF(Model!CY30=0,"",Model!CY30)</f>
        <v/>
      </c>
      <c r="DB27" s="204" t="str">
        <f aca="false">IF(Model!CZ30=0,"",Model!CZ30)</f>
        <v/>
      </c>
    </row>
    <row r="28" customFormat="false" ht="15" hidden="false" customHeight="true" outlineLevel="0" collapsed="false">
      <c r="A28" s="123" t="s">
        <v>25</v>
      </c>
      <c r="B28" s="201" t="n">
        <f aca="false">Projects!$B$22</f>
        <v>13706000</v>
      </c>
      <c r="C28" s="202" t="n">
        <f aca="false">EDATE(Model!$E$2,Projects!$C$22-1)</f>
        <v>46661</v>
      </c>
      <c r="D28" s="202" t="n">
        <f aca="false">EDATE(Model!$E$2,Projects!$C$22+Projects!$D$22-2)</f>
        <v>47209</v>
      </c>
      <c r="E28" s="203" t="n">
        <f aca="false">Projects!$D$22</f>
        <v>19</v>
      </c>
      <c r="F28" s="201" t="n">
        <f aca="false">SUM(G28:DB28)</f>
        <v>0</v>
      </c>
      <c r="G28" s="204" t="str">
        <f aca="false">IF(Model!E31=0,"",Model!E31)</f>
        <v/>
      </c>
      <c r="H28" s="204" t="str">
        <f aca="false">IF(Model!F31=0,"",Model!F31)</f>
        <v/>
      </c>
      <c r="I28" s="204" t="str">
        <f aca="false">IF(Model!G31=0,"",Model!G31)</f>
        <v/>
      </c>
      <c r="J28" s="204" t="str">
        <f aca="false">IF(Model!H31=0,"",Model!H31)</f>
        <v/>
      </c>
      <c r="K28" s="204" t="str">
        <f aca="false">IF(Model!I31=0,"",Model!I31)</f>
        <v/>
      </c>
      <c r="L28" s="204" t="str">
        <f aca="false">IF(Model!J31=0,"",Model!J31)</f>
        <v/>
      </c>
      <c r="M28" s="204" t="str">
        <f aca="false">IF(Model!K31=0,"",Model!K31)</f>
        <v/>
      </c>
      <c r="N28" s="204" t="str">
        <f aca="false">IF(Model!L31=0,"",Model!L31)</f>
        <v/>
      </c>
      <c r="O28" s="204" t="str">
        <f aca="false">IF(Model!M31=0,"",Model!M31)</f>
        <v/>
      </c>
      <c r="P28" s="204" t="str">
        <f aca="false">IF(Model!N31=0,"",Model!N31)</f>
        <v/>
      </c>
      <c r="Q28" s="204" t="str">
        <f aca="false">IF(Model!O31=0,"",Model!O31)</f>
        <v/>
      </c>
      <c r="R28" s="204" t="str">
        <f aca="false">IF(Model!P31=0,"",Model!P31)</f>
        <v/>
      </c>
      <c r="S28" s="204" t="str">
        <f aca="false">IF(Model!Q31=0,"",Model!Q31)</f>
        <v/>
      </c>
      <c r="T28" s="204" t="str">
        <f aca="false">IF(Model!R31=0,"",Model!R31)</f>
        <v/>
      </c>
      <c r="U28" s="204" t="str">
        <f aca="false">IF(Model!S31=0,"",Model!S31)</f>
        <v/>
      </c>
      <c r="V28" s="204" t="str">
        <f aca="false">IF(Model!T31=0,"",Model!T31)</f>
        <v/>
      </c>
      <c r="W28" s="204" t="str">
        <f aca="false">IF(Model!U31=0,"",Model!U31)</f>
        <v/>
      </c>
      <c r="X28" s="204" t="str">
        <f aca="false">IF(Model!V31=0,"",Model!V31)</f>
        <v/>
      </c>
      <c r="Y28" s="204" t="str">
        <f aca="false">IF(Model!W31=0,"",Model!W31)</f>
        <v/>
      </c>
      <c r="Z28" s="204" t="str">
        <f aca="false">IF(Model!X31=0,"",Model!X31)</f>
        <v/>
      </c>
      <c r="AA28" s="204" t="str">
        <f aca="false">IF(Model!Y31=0,"",Model!Y31)</f>
        <v/>
      </c>
      <c r="AB28" s="204" t="str">
        <f aca="false">IF(Model!Z31=0,"",Model!Z31)</f>
        <v/>
      </c>
      <c r="AC28" s="204" t="str">
        <f aca="false">IF(Model!AA31=0,"",Model!AA31)</f>
        <v/>
      </c>
      <c r="AD28" s="204" t="str">
        <f aca="false">IF(Model!AB31=0,"",Model!AB31)</f>
        <v/>
      </c>
      <c r="AE28" s="204" t="str">
        <f aca="false">IF(Model!AC31=0,"",Model!AC31)</f>
        <v/>
      </c>
      <c r="AF28" s="204" t="str">
        <f aca="false">IF(Model!AD31=0,"",Model!AD31)</f>
        <v/>
      </c>
      <c r="AG28" s="204" t="str">
        <f aca="false">IF(Model!AE31=0,"",Model!AE31)</f>
        <v/>
      </c>
      <c r="AH28" s="204" t="str">
        <f aca="false">IF(Model!AF31=0,"",Model!AF31)</f>
        <v/>
      </c>
      <c r="AI28" s="204" t="str">
        <f aca="false">IF(Model!AG31=0,"",Model!AG31)</f>
        <v/>
      </c>
      <c r="AJ28" s="204" t="str">
        <f aca="false">IF(Model!AH31=0,"",Model!AH31)</f>
        <v/>
      </c>
      <c r="AK28" s="204" t="str">
        <f aca="false">IF(Model!AI31=0,"",Model!AI31)</f>
        <v/>
      </c>
      <c r="AL28" s="204" t="str">
        <f aca="false">IF(Model!AJ31=0,"",Model!AJ31)</f>
        <v/>
      </c>
      <c r="AM28" s="204" t="str">
        <f aca="false">IF(Model!AK31=0,"",Model!AK31)</f>
        <v/>
      </c>
      <c r="AN28" s="204" t="str">
        <f aca="false">IF(Model!AL31=0,"",Model!AL31)</f>
        <v/>
      </c>
      <c r="AO28" s="204" t="str">
        <f aca="false">IF(Model!AM31=0,"",Model!AM31)</f>
        <v/>
      </c>
      <c r="AP28" s="204" t="str">
        <f aca="false">IF(Model!AN31=0,"",Model!AN31)</f>
        <v/>
      </c>
      <c r="AQ28" s="204" t="str">
        <f aca="false">IF(Model!AO31=0,"",Model!AO31)</f>
        <v/>
      </c>
      <c r="AR28" s="204" t="str">
        <f aca="false">IF(Model!AP31=0,"",Model!AP31)</f>
        <v/>
      </c>
      <c r="AS28" s="204" t="str">
        <f aca="false">IF(Model!AQ31=0,"",Model!AQ31)</f>
        <v/>
      </c>
      <c r="AT28" s="204" t="str">
        <f aca="false">IF(Model!AR31=0,"",Model!AR31)</f>
        <v/>
      </c>
      <c r="AU28" s="204" t="str">
        <f aca="false">IF(Model!AS31=0,"",Model!AS31)</f>
        <v/>
      </c>
      <c r="AV28" s="204" t="str">
        <f aca="false">IF(Model!AT31=0,"",Model!AT31)</f>
        <v/>
      </c>
      <c r="AW28" s="204" t="str">
        <f aca="false">IF(Model!AU31=0,"",Model!AU31)</f>
        <v/>
      </c>
      <c r="AX28" s="204" t="str">
        <f aca="false">IF(Model!AV31=0,"",Model!AV31)</f>
        <v/>
      </c>
      <c r="AY28" s="204" t="str">
        <f aca="false">IF(Model!AW31=0,"",Model!AW31)</f>
        <v/>
      </c>
      <c r="AZ28" s="204" t="str">
        <f aca="false">IF(Model!AX31=0,"",Model!AX31)</f>
        <v/>
      </c>
      <c r="BA28" s="204" t="str">
        <f aca="false">IF(Model!AY31=0,"",Model!AY31)</f>
        <v/>
      </c>
      <c r="BB28" s="204" t="str">
        <f aca="false">IF(Model!AZ31=0,"",Model!AZ31)</f>
        <v/>
      </c>
      <c r="BC28" s="204" t="str">
        <f aca="false">IF(Model!BA31=0,"",Model!BA31)</f>
        <v/>
      </c>
      <c r="BD28" s="204" t="str">
        <f aca="false">IF(Model!BB31=0,"",Model!BB31)</f>
        <v/>
      </c>
      <c r="BE28" s="204" t="str">
        <f aca="false">IF(Model!BC31=0,"",Model!BC31)</f>
        <v/>
      </c>
      <c r="BF28" s="204" t="str">
        <f aca="false">IF(Model!BD31=0,"",Model!BD31)</f>
        <v/>
      </c>
      <c r="BG28" s="204" t="str">
        <f aca="false">IF(Model!BE31=0,"",Model!BE31)</f>
        <v/>
      </c>
      <c r="BH28" s="204" t="str">
        <f aca="false">IF(Model!BF31=0,"",Model!BF31)</f>
        <v/>
      </c>
      <c r="BI28" s="204" t="str">
        <f aca="false">IF(Model!BG31=0,"",Model!BG31)</f>
        <v/>
      </c>
      <c r="BJ28" s="204" t="str">
        <f aca="false">IF(Model!BH31=0,"",Model!BH31)</f>
        <v/>
      </c>
      <c r="BK28" s="204" t="str">
        <f aca="false">IF(Model!BI31=0,"",Model!BI31)</f>
        <v/>
      </c>
      <c r="BL28" s="204" t="str">
        <f aca="false">IF(Model!BJ31=0,"",Model!BJ31)</f>
        <v/>
      </c>
      <c r="BM28" s="204" t="str">
        <f aca="false">IF(Model!BK31=0,"",Model!BK31)</f>
        <v/>
      </c>
      <c r="BN28" s="204" t="str">
        <f aca="false">IF(Model!BL31=0,"",Model!BL31)</f>
        <v/>
      </c>
      <c r="BO28" s="204" t="str">
        <f aca="false">IF(Model!BM31=0,"",Model!BM31)</f>
        <v/>
      </c>
      <c r="BP28" s="204" t="str">
        <f aca="false">IF(Model!BN31=0,"",Model!BN31)</f>
        <v/>
      </c>
      <c r="BQ28" s="204" t="str">
        <f aca="false">IF(Model!BO31=0,"",Model!BO31)</f>
        <v/>
      </c>
      <c r="BR28" s="204" t="str">
        <f aca="false">IF(Model!BP31=0,"",Model!BP31)</f>
        <v/>
      </c>
      <c r="BS28" s="204" t="str">
        <f aca="false">IF(Model!BQ31=0,"",Model!BQ31)</f>
        <v/>
      </c>
      <c r="BT28" s="204" t="str">
        <f aca="false">IF(Model!BR31=0,"",Model!BR31)</f>
        <v/>
      </c>
      <c r="BU28" s="204" t="str">
        <f aca="false">IF(Model!BS31=0,"",Model!BS31)</f>
        <v/>
      </c>
      <c r="BV28" s="204" t="str">
        <f aca="false">IF(Model!BT31=0,"",Model!BT31)</f>
        <v/>
      </c>
      <c r="BW28" s="204" t="str">
        <f aca="false">IF(Model!BU31=0,"",Model!BU31)</f>
        <v/>
      </c>
      <c r="BX28" s="204" t="str">
        <f aca="false">IF(Model!BV31=0,"",Model!BV31)</f>
        <v/>
      </c>
      <c r="BY28" s="204" t="str">
        <f aca="false">IF(Model!BW31=0,"",Model!BW31)</f>
        <v/>
      </c>
      <c r="BZ28" s="204" t="str">
        <f aca="false">IF(Model!BX31=0,"",Model!BX31)</f>
        <v/>
      </c>
      <c r="CA28" s="204" t="str">
        <f aca="false">IF(Model!BY31=0,"",Model!BY31)</f>
        <v/>
      </c>
      <c r="CB28" s="204" t="str">
        <f aca="false">IF(Model!BZ31=0,"",Model!BZ31)</f>
        <v/>
      </c>
      <c r="CC28" s="204" t="str">
        <f aca="false">IF(Model!CA31=0,"",Model!CA31)</f>
        <v/>
      </c>
      <c r="CD28" s="204" t="str">
        <f aca="false">IF(Model!CB31=0,"",Model!CB31)</f>
        <v/>
      </c>
      <c r="CE28" s="204" t="str">
        <f aca="false">IF(Model!CC31=0,"",Model!CC31)</f>
        <v/>
      </c>
      <c r="CF28" s="204" t="str">
        <f aca="false">IF(Model!CD31=0,"",Model!CD31)</f>
        <v/>
      </c>
      <c r="CG28" s="204" t="str">
        <f aca="false">IF(Model!CE31=0,"",Model!CE31)</f>
        <v/>
      </c>
      <c r="CH28" s="204" t="str">
        <f aca="false">IF(Model!CF31=0,"",Model!CF31)</f>
        <v/>
      </c>
      <c r="CI28" s="204" t="str">
        <f aca="false">IF(Model!CG31=0,"",Model!CG31)</f>
        <v/>
      </c>
      <c r="CJ28" s="204" t="str">
        <f aca="false">IF(Model!CH31=0,"",Model!CH31)</f>
        <v/>
      </c>
      <c r="CK28" s="204" t="str">
        <f aca="false">IF(Model!CI31=0,"",Model!CI31)</f>
        <v/>
      </c>
      <c r="CL28" s="204" t="str">
        <f aca="false">IF(Model!CJ31=0,"",Model!CJ31)</f>
        <v/>
      </c>
      <c r="CM28" s="204" t="str">
        <f aca="false">IF(Model!CK31=0,"",Model!CK31)</f>
        <v/>
      </c>
      <c r="CN28" s="204" t="str">
        <f aca="false">IF(Model!CL31=0,"",Model!CL31)</f>
        <v/>
      </c>
      <c r="CO28" s="204" t="str">
        <f aca="false">IF(Model!CM31=0,"",Model!CM31)</f>
        <v/>
      </c>
      <c r="CP28" s="204" t="str">
        <f aca="false">IF(Model!CN31=0,"",Model!CN31)</f>
        <v/>
      </c>
      <c r="CQ28" s="204" t="str">
        <f aca="false">IF(Model!CO31=0,"",Model!CO31)</f>
        <v/>
      </c>
      <c r="CR28" s="204" t="str">
        <f aca="false">IF(Model!CP31=0,"",Model!CP31)</f>
        <v/>
      </c>
      <c r="CS28" s="204" t="str">
        <f aca="false">IF(Model!CQ31=0,"",Model!CQ31)</f>
        <v/>
      </c>
      <c r="CT28" s="204" t="str">
        <f aca="false">IF(Model!CR31=0,"",Model!CR31)</f>
        <v/>
      </c>
      <c r="CU28" s="204" t="str">
        <f aca="false">IF(Model!CS31=0,"",Model!CS31)</f>
        <v/>
      </c>
      <c r="CV28" s="204" t="str">
        <f aca="false">IF(Model!CT31=0,"",Model!CT31)</f>
        <v/>
      </c>
      <c r="CW28" s="204" t="str">
        <f aca="false">IF(Model!CU31=0,"",Model!CU31)</f>
        <v/>
      </c>
      <c r="CX28" s="204" t="str">
        <f aca="false">IF(Model!CV31=0,"",Model!CV31)</f>
        <v/>
      </c>
      <c r="CY28" s="204" t="str">
        <f aca="false">IF(Model!CW31=0,"",Model!CW31)</f>
        <v/>
      </c>
      <c r="CZ28" s="204" t="str">
        <f aca="false">IF(Model!CX31=0,"",Model!CX31)</f>
        <v/>
      </c>
      <c r="DA28" s="204" t="str">
        <f aca="false">IF(Model!CY31=0,"",Model!CY31)</f>
        <v/>
      </c>
      <c r="DB28" s="204" t="str">
        <f aca="false">IF(Model!CZ31=0,"",Model!CZ31)</f>
        <v/>
      </c>
    </row>
    <row r="29" customFormat="false" ht="15" hidden="false" customHeight="true" outlineLevel="0" collapsed="false">
      <c r="A29" s="123" t="s">
        <v>26</v>
      </c>
      <c r="B29" s="201" t="n">
        <f aca="false">Projects!$B$23</f>
        <v>15000000</v>
      </c>
      <c r="C29" s="202" t="n">
        <f aca="false">EDATE(Model!$E$2,Projects!$C$23-1)</f>
        <v>47119</v>
      </c>
      <c r="D29" s="202" t="n">
        <f aca="false">EDATE(Model!$E$2,Projects!$C$23+Projects!$D$23-2)</f>
        <v>47665</v>
      </c>
      <c r="E29" s="203" t="n">
        <f aca="false">Projects!$D$23</f>
        <v>19</v>
      </c>
      <c r="F29" s="201" t="n">
        <f aca="false">SUM(G29:DB29)</f>
        <v>0</v>
      </c>
      <c r="G29" s="204" t="str">
        <f aca="false">IF(Model!E32=0,"",Model!E32)</f>
        <v/>
      </c>
      <c r="H29" s="204" t="str">
        <f aca="false">IF(Model!F32=0,"",Model!F32)</f>
        <v/>
      </c>
      <c r="I29" s="204" t="str">
        <f aca="false">IF(Model!G32=0,"",Model!G32)</f>
        <v/>
      </c>
      <c r="J29" s="204" t="str">
        <f aca="false">IF(Model!H32=0,"",Model!H32)</f>
        <v/>
      </c>
      <c r="K29" s="204" t="str">
        <f aca="false">IF(Model!I32=0,"",Model!I32)</f>
        <v/>
      </c>
      <c r="L29" s="204" t="str">
        <f aca="false">IF(Model!J32=0,"",Model!J32)</f>
        <v/>
      </c>
      <c r="M29" s="204" t="str">
        <f aca="false">IF(Model!K32=0,"",Model!K32)</f>
        <v/>
      </c>
      <c r="N29" s="204" t="str">
        <f aca="false">IF(Model!L32=0,"",Model!L32)</f>
        <v/>
      </c>
      <c r="O29" s="204" t="str">
        <f aca="false">IF(Model!M32=0,"",Model!M32)</f>
        <v/>
      </c>
      <c r="P29" s="204" t="str">
        <f aca="false">IF(Model!N32=0,"",Model!N32)</f>
        <v/>
      </c>
      <c r="Q29" s="204" t="str">
        <f aca="false">IF(Model!O32=0,"",Model!O32)</f>
        <v/>
      </c>
      <c r="R29" s="204" t="str">
        <f aca="false">IF(Model!P32=0,"",Model!P32)</f>
        <v/>
      </c>
      <c r="S29" s="204" t="str">
        <f aca="false">IF(Model!Q32=0,"",Model!Q32)</f>
        <v/>
      </c>
      <c r="T29" s="204" t="str">
        <f aca="false">IF(Model!R32=0,"",Model!R32)</f>
        <v/>
      </c>
      <c r="U29" s="204" t="str">
        <f aca="false">IF(Model!S32=0,"",Model!S32)</f>
        <v/>
      </c>
      <c r="V29" s="204" t="str">
        <f aca="false">IF(Model!T32=0,"",Model!T32)</f>
        <v/>
      </c>
      <c r="W29" s="204" t="str">
        <f aca="false">IF(Model!U32=0,"",Model!U32)</f>
        <v/>
      </c>
      <c r="X29" s="204" t="str">
        <f aca="false">IF(Model!V32=0,"",Model!V32)</f>
        <v/>
      </c>
      <c r="Y29" s="204" t="str">
        <f aca="false">IF(Model!W32=0,"",Model!W32)</f>
        <v/>
      </c>
      <c r="Z29" s="204" t="str">
        <f aca="false">IF(Model!X32=0,"",Model!X32)</f>
        <v/>
      </c>
      <c r="AA29" s="204" t="str">
        <f aca="false">IF(Model!Y32=0,"",Model!Y32)</f>
        <v/>
      </c>
      <c r="AB29" s="204" t="str">
        <f aca="false">IF(Model!Z32=0,"",Model!Z32)</f>
        <v/>
      </c>
      <c r="AC29" s="204" t="str">
        <f aca="false">IF(Model!AA32=0,"",Model!AA32)</f>
        <v/>
      </c>
      <c r="AD29" s="204" t="str">
        <f aca="false">IF(Model!AB32=0,"",Model!AB32)</f>
        <v/>
      </c>
      <c r="AE29" s="204" t="str">
        <f aca="false">IF(Model!AC32=0,"",Model!AC32)</f>
        <v/>
      </c>
      <c r="AF29" s="204" t="str">
        <f aca="false">IF(Model!AD32=0,"",Model!AD32)</f>
        <v/>
      </c>
      <c r="AG29" s="204" t="str">
        <f aca="false">IF(Model!AE32=0,"",Model!AE32)</f>
        <v/>
      </c>
      <c r="AH29" s="204" t="str">
        <f aca="false">IF(Model!AF32=0,"",Model!AF32)</f>
        <v/>
      </c>
      <c r="AI29" s="204" t="str">
        <f aca="false">IF(Model!AG32=0,"",Model!AG32)</f>
        <v/>
      </c>
      <c r="AJ29" s="204" t="str">
        <f aca="false">IF(Model!AH32=0,"",Model!AH32)</f>
        <v/>
      </c>
      <c r="AK29" s="204" t="str">
        <f aca="false">IF(Model!AI32=0,"",Model!AI32)</f>
        <v/>
      </c>
      <c r="AL29" s="204" t="str">
        <f aca="false">IF(Model!AJ32=0,"",Model!AJ32)</f>
        <v/>
      </c>
      <c r="AM29" s="204" t="str">
        <f aca="false">IF(Model!AK32=0,"",Model!AK32)</f>
        <v/>
      </c>
      <c r="AN29" s="204" t="str">
        <f aca="false">IF(Model!AL32=0,"",Model!AL32)</f>
        <v/>
      </c>
      <c r="AO29" s="204" t="str">
        <f aca="false">IF(Model!AM32=0,"",Model!AM32)</f>
        <v/>
      </c>
      <c r="AP29" s="204" t="str">
        <f aca="false">IF(Model!AN32=0,"",Model!AN32)</f>
        <v/>
      </c>
      <c r="AQ29" s="204" t="str">
        <f aca="false">IF(Model!AO32=0,"",Model!AO32)</f>
        <v/>
      </c>
      <c r="AR29" s="204" t="str">
        <f aca="false">IF(Model!AP32=0,"",Model!AP32)</f>
        <v/>
      </c>
      <c r="AS29" s="204" t="str">
        <f aca="false">IF(Model!AQ32=0,"",Model!AQ32)</f>
        <v/>
      </c>
      <c r="AT29" s="204" t="str">
        <f aca="false">IF(Model!AR32=0,"",Model!AR32)</f>
        <v/>
      </c>
      <c r="AU29" s="204" t="str">
        <f aca="false">IF(Model!AS32=0,"",Model!AS32)</f>
        <v/>
      </c>
      <c r="AV29" s="204" t="str">
        <f aca="false">IF(Model!AT32=0,"",Model!AT32)</f>
        <v/>
      </c>
      <c r="AW29" s="204" t="str">
        <f aca="false">IF(Model!AU32=0,"",Model!AU32)</f>
        <v/>
      </c>
      <c r="AX29" s="204" t="str">
        <f aca="false">IF(Model!AV32=0,"",Model!AV32)</f>
        <v/>
      </c>
      <c r="AY29" s="204" t="str">
        <f aca="false">IF(Model!AW32=0,"",Model!AW32)</f>
        <v/>
      </c>
      <c r="AZ29" s="204" t="str">
        <f aca="false">IF(Model!AX32=0,"",Model!AX32)</f>
        <v/>
      </c>
      <c r="BA29" s="204" t="str">
        <f aca="false">IF(Model!AY32=0,"",Model!AY32)</f>
        <v/>
      </c>
      <c r="BB29" s="204" t="str">
        <f aca="false">IF(Model!AZ32=0,"",Model!AZ32)</f>
        <v/>
      </c>
      <c r="BC29" s="204" t="str">
        <f aca="false">IF(Model!BA32=0,"",Model!BA32)</f>
        <v/>
      </c>
      <c r="BD29" s="204" t="str">
        <f aca="false">IF(Model!BB32=0,"",Model!BB32)</f>
        <v/>
      </c>
      <c r="BE29" s="204" t="str">
        <f aca="false">IF(Model!BC32=0,"",Model!BC32)</f>
        <v/>
      </c>
      <c r="BF29" s="204" t="str">
        <f aca="false">IF(Model!BD32=0,"",Model!BD32)</f>
        <v/>
      </c>
      <c r="BG29" s="204" t="str">
        <f aca="false">IF(Model!BE32=0,"",Model!BE32)</f>
        <v/>
      </c>
      <c r="BH29" s="204" t="str">
        <f aca="false">IF(Model!BF32=0,"",Model!BF32)</f>
        <v/>
      </c>
      <c r="BI29" s="204" t="str">
        <f aca="false">IF(Model!BG32=0,"",Model!BG32)</f>
        <v/>
      </c>
      <c r="BJ29" s="204" t="str">
        <f aca="false">IF(Model!BH32=0,"",Model!BH32)</f>
        <v/>
      </c>
      <c r="BK29" s="204" t="str">
        <f aca="false">IF(Model!BI32=0,"",Model!BI32)</f>
        <v/>
      </c>
      <c r="BL29" s="204" t="str">
        <f aca="false">IF(Model!BJ32=0,"",Model!BJ32)</f>
        <v/>
      </c>
      <c r="BM29" s="204" t="str">
        <f aca="false">IF(Model!BK32=0,"",Model!BK32)</f>
        <v/>
      </c>
      <c r="BN29" s="204" t="str">
        <f aca="false">IF(Model!BL32=0,"",Model!BL32)</f>
        <v/>
      </c>
      <c r="BO29" s="204" t="str">
        <f aca="false">IF(Model!BM32=0,"",Model!BM32)</f>
        <v/>
      </c>
      <c r="BP29" s="204" t="str">
        <f aca="false">IF(Model!BN32=0,"",Model!BN32)</f>
        <v/>
      </c>
      <c r="BQ29" s="204" t="str">
        <f aca="false">IF(Model!BO32=0,"",Model!BO32)</f>
        <v/>
      </c>
      <c r="BR29" s="204" t="str">
        <f aca="false">IF(Model!BP32=0,"",Model!BP32)</f>
        <v/>
      </c>
      <c r="BS29" s="204" t="str">
        <f aca="false">IF(Model!BQ32=0,"",Model!BQ32)</f>
        <v/>
      </c>
      <c r="BT29" s="204" t="str">
        <f aca="false">IF(Model!BR32=0,"",Model!BR32)</f>
        <v/>
      </c>
      <c r="BU29" s="204" t="str">
        <f aca="false">IF(Model!BS32=0,"",Model!BS32)</f>
        <v/>
      </c>
      <c r="BV29" s="204" t="str">
        <f aca="false">IF(Model!BT32=0,"",Model!BT32)</f>
        <v/>
      </c>
      <c r="BW29" s="204" t="str">
        <f aca="false">IF(Model!BU32=0,"",Model!BU32)</f>
        <v/>
      </c>
      <c r="BX29" s="204" t="str">
        <f aca="false">IF(Model!BV32=0,"",Model!BV32)</f>
        <v/>
      </c>
      <c r="BY29" s="204" t="str">
        <f aca="false">IF(Model!BW32=0,"",Model!BW32)</f>
        <v/>
      </c>
      <c r="BZ29" s="204" t="str">
        <f aca="false">IF(Model!BX32=0,"",Model!BX32)</f>
        <v/>
      </c>
      <c r="CA29" s="204" t="str">
        <f aca="false">IF(Model!BY32=0,"",Model!BY32)</f>
        <v/>
      </c>
      <c r="CB29" s="204" t="str">
        <f aca="false">IF(Model!BZ32=0,"",Model!BZ32)</f>
        <v/>
      </c>
      <c r="CC29" s="204" t="str">
        <f aca="false">IF(Model!CA32=0,"",Model!CA32)</f>
        <v/>
      </c>
      <c r="CD29" s="204" t="str">
        <f aca="false">IF(Model!CB32=0,"",Model!CB32)</f>
        <v/>
      </c>
      <c r="CE29" s="204" t="str">
        <f aca="false">IF(Model!CC32=0,"",Model!CC32)</f>
        <v/>
      </c>
      <c r="CF29" s="204" t="str">
        <f aca="false">IF(Model!CD32=0,"",Model!CD32)</f>
        <v/>
      </c>
      <c r="CG29" s="204" t="str">
        <f aca="false">IF(Model!CE32=0,"",Model!CE32)</f>
        <v/>
      </c>
      <c r="CH29" s="204" t="str">
        <f aca="false">IF(Model!CF32=0,"",Model!CF32)</f>
        <v/>
      </c>
      <c r="CI29" s="204" t="str">
        <f aca="false">IF(Model!CG32=0,"",Model!CG32)</f>
        <v/>
      </c>
      <c r="CJ29" s="204" t="str">
        <f aca="false">IF(Model!CH32=0,"",Model!CH32)</f>
        <v/>
      </c>
      <c r="CK29" s="204" t="str">
        <f aca="false">IF(Model!CI32=0,"",Model!CI32)</f>
        <v/>
      </c>
      <c r="CL29" s="204" t="str">
        <f aca="false">IF(Model!CJ32=0,"",Model!CJ32)</f>
        <v/>
      </c>
      <c r="CM29" s="204" t="str">
        <f aca="false">IF(Model!CK32=0,"",Model!CK32)</f>
        <v/>
      </c>
      <c r="CN29" s="204" t="str">
        <f aca="false">IF(Model!CL32=0,"",Model!CL32)</f>
        <v/>
      </c>
      <c r="CO29" s="204" t="str">
        <f aca="false">IF(Model!CM32=0,"",Model!CM32)</f>
        <v/>
      </c>
      <c r="CP29" s="204" t="str">
        <f aca="false">IF(Model!CN32=0,"",Model!CN32)</f>
        <v/>
      </c>
      <c r="CQ29" s="204" t="str">
        <f aca="false">IF(Model!CO32=0,"",Model!CO32)</f>
        <v/>
      </c>
      <c r="CR29" s="204" t="str">
        <f aca="false">IF(Model!CP32=0,"",Model!CP32)</f>
        <v/>
      </c>
      <c r="CS29" s="204" t="str">
        <f aca="false">IF(Model!CQ32=0,"",Model!CQ32)</f>
        <v/>
      </c>
      <c r="CT29" s="204" t="str">
        <f aca="false">IF(Model!CR32=0,"",Model!CR32)</f>
        <v/>
      </c>
      <c r="CU29" s="204" t="str">
        <f aca="false">IF(Model!CS32=0,"",Model!CS32)</f>
        <v/>
      </c>
      <c r="CV29" s="204" t="str">
        <f aca="false">IF(Model!CT32=0,"",Model!CT32)</f>
        <v/>
      </c>
      <c r="CW29" s="204" t="str">
        <f aca="false">IF(Model!CU32=0,"",Model!CU32)</f>
        <v/>
      </c>
      <c r="CX29" s="204" t="str">
        <f aca="false">IF(Model!CV32=0,"",Model!CV32)</f>
        <v/>
      </c>
      <c r="CY29" s="204" t="str">
        <f aca="false">IF(Model!CW32=0,"",Model!CW32)</f>
        <v/>
      </c>
      <c r="CZ29" s="204" t="str">
        <f aca="false">IF(Model!CX32=0,"",Model!CX32)</f>
        <v/>
      </c>
      <c r="DA29" s="204" t="str">
        <f aca="false">IF(Model!CY32=0,"",Model!CY32)</f>
        <v/>
      </c>
      <c r="DB29" s="204" t="str">
        <f aca="false">IF(Model!CZ32=0,"",Model!CZ32)</f>
        <v/>
      </c>
    </row>
    <row r="30" customFormat="false" ht="15" hidden="false" customHeight="true" outlineLevel="0" collapsed="false">
      <c r="A30" s="123" t="s">
        <v>27</v>
      </c>
      <c r="B30" s="201" t="n">
        <f aca="false">Projects!$B$24</f>
        <v>18000000</v>
      </c>
      <c r="C30" s="202" t="n">
        <f aca="false">EDATE(Model!$E$2,Projects!$C$24-1)</f>
        <v>47209</v>
      </c>
      <c r="D30" s="202" t="n">
        <f aca="false">EDATE(Model!$E$2,Projects!$C$24+Projects!$D$24-2)</f>
        <v>47757</v>
      </c>
      <c r="E30" s="203" t="n">
        <f aca="false">Projects!$D$24</f>
        <v>19</v>
      </c>
      <c r="F30" s="201" t="n">
        <f aca="false">SUM(G30:DB30)</f>
        <v>0</v>
      </c>
      <c r="G30" s="204" t="str">
        <f aca="false">IF(Model!E33=0,"",Model!E33)</f>
        <v/>
      </c>
      <c r="H30" s="204" t="str">
        <f aca="false">IF(Model!F33=0,"",Model!F33)</f>
        <v/>
      </c>
      <c r="I30" s="204" t="str">
        <f aca="false">IF(Model!G33=0,"",Model!G33)</f>
        <v/>
      </c>
      <c r="J30" s="204" t="str">
        <f aca="false">IF(Model!H33=0,"",Model!H33)</f>
        <v/>
      </c>
      <c r="K30" s="204" t="str">
        <f aca="false">IF(Model!I33=0,"",Model!I33)</f>
        <v/>
      </c>
      <c r="L30" s="204" t="str">
        <f aca="false">IF(Model!J33=0,"",Model!J33)</f>
        <v/>
      </c>
      <c r="M30" s="204" t="str">
        <f aca="false">IF(Model!K33=0,"",Model!K33)</f>
        <v/>
      </c>
      <c r="N30" s="204" t="str">
        <f aca="false">IF(Model!L33=0,"",Model!L33)</f>
        <v/>
      </c>
      <c r="O30" s="204" t="str">
        <f aca="false">IF(Model!M33=0,"",Model!M33)</f>
        <v/>
      </c>
      <c r="P30" s="204" t="str">
        <f aca="false">IF(Model!N33=0,"",Model!N33)</f>
        <v/>
      </c>
      <c r="Q30" s="204" t="str">
        <f aca="false">IF(Model!O33=0,"",Model!O33)</f>
        <v/>
      </c>
      <c r="R30" s="204" t="str">
        <f aca="false">IF(Model!P33=0,"",Model!P33)</f>
        <v/>
      </c>
      <c r="S30" s="204" t="str">
        <f aca="false">IF(Model!Q33=0,"",Model!Q33)</f>
        <v/>
      </c>
      <c r="T30" s="204" t="str">
        <f aca="false">IF(Model!R33=0,"",Model!R33)</f>
        <v/>
      </c>
      <c r="U30" s="204" t="str">
        <f aca="false">IF(Model!S33=0,"",Model!S33)</f>
        <v/>
      </c>
      <c r="V30" s="204" t="str">
        <f aca="false">IF(Model!T33=0,"",Model!T33)</f>
        <v/>
      </c>
      <c r="W30" s="204" t="str">
        <f aca="false">IF(Model!U33=0,"",Model!U33)</f>
        <v/>
      </c>
      <c r="X30" s="204" t="str">
        <f aca="false">IF(Model!V33=0,"",Model!V33)</f>
        <v/>
      </c>
      <c r="Y30" s="204" t="str">
        <f aca="false">IF(Model!W33=0,"",Model!W33)</f>
        <v/>
      </c>
      <c r="Z30" s="204" t="str">
        <f aca="false">IF(Model!X33=0,"",Model!X33)</f>
        <v/>
      </c>
      <c r="AA30" s="204" t="str">
        <f aca="false">IF(Model!Y33=0,"",Model!Y33)</f>
        <v/>
      </c>
      <c r="AB30" s="204" t="str">
        <f aca="false">IF(Model!Z33=0,"",Model!Z33)</f>
        <v/>
      </c>
      <c r="AC30" s="204" t="str">
        <f aca="false">IF(Model!AA33=0,"",Model!AA33)</f>
        <v/>
      </c>
      <c r="AD30" s="204" t="str">
        <f aca="false">IF(Model!AB33=0,"",Model!AB33)</f>
        <v/>
      </c>
      <c r="AE30" s="204" t="str">
        <f aca="false">IF(Model!AC33=0,"",Model!AC33)</f>
        <v/>
      </c>
      <c r="AF30" s="204" t="str">
        <f aca="false">IF(Model!AD33=0,"",Model!AD33)</f>
        <v/>
      </c>
      <c r="AG30" s="204" t="str">
        <f aca="false">IF(Model!AE33=0,"",Model!AE33)</f>
        <v/>
      </c>
      <c r="AH30" s="204" t="str">
        <f aca="false">IF(Model!AF33=0,"",Model!AF33)</f>
        <v/>
      </c>
      <c r="AI30" s="204" t="str">
        <f aca="false">IF(Model!AG33=0,"",Model!AG33)</f>
        <v/>
      </c>
      <c r="AJ30" s="204" t="str">
        <f aca="false">IF(Model!AH33=0,"",Model!AH33)</f>
        <v/>
      </c>
      <c r="AK30" s="204" t="str">
        <f aca="false">IF(Model!AI33=0,"",Model!AI33)</f>
        <v/>
      </c>
      <c r="AL30" s="204" t="str">
        <f aca="false">IF(Model!AJ33=0,"",Model!AJ33)</f>
        <v/>
      </c>
      <c r="AM30" s="204" t="str">
        <f aca="false">IF(Model!AK33=0,"",Model!AK33)</f>
        <v/>
      </c>
      <c r="AN30" s="204" t="str">
        <f aca="false">IF(Model!AL33=0,"",Model!AL33)</f>
        <v/>
      </c>
      <c r="AO30" s="204" t="str">
        <f aca="false">IF(Model!AM33=0,"",Model!AM33)</f>
        <v/>
      </c>
      <c r="AP30" s="204" t="str">
        <f aca="false">IF(Model!AN33=0,"",Model!AN33)</f>
        <v/>
      </c>
      <c r="AQ30" s="204" t="str">
        <f aca="false">IF(Model!AO33=0,"",Model!AO33)</f>
        <v/>
      </c>
      <c r="AR30" s="204" t="str">
        <f aca="false">IF(Model!AP33=0,"",Model!AP33)</f>
        <v/>
      </c>
      <c r="AS30" s="204" t="str">
        <f aca="false">IF(Model!AQ33=0,"",Model!AQ33)</f>
        <v/>
      </c>
      <c r="AT30" s="204" t="str">
        <f aca="false">IF(Model!AR33=0,"",Model!AR33)</f>
        <v/>
      </c>
      <c r="AU30" s="204" t="str">
        <f aca="false">IF(Model!AS33=0,"",Model!AS33)</f>
        <v/>
      </c>
      <c r="AV30" s="204" t="str">
        <f aca="false">IF(Model!AT33=0,"",Model!AT33)</f>
        <v/>
      </c>
      <c r="AW30" s="204" t="str">
        <f aca="false">IF(Model!AU33=0,"",Model!AU33)</f>
        <v/>
      </c>
      <c r="AX30" s="204" t="str">
        <f aca="false">IF(Model!AV33=0,"",Model!AV33)</f>
        <v/>
      </c>
      <c r="AY30" s="204" t="str">
        <f aca="false">IF(Model!AW33=0,"",Model!AW33)</f>
        <v/>
      </c>
      <c r="AZ30" s="204" t="str">
        <f aca="false">IF(Model!AX33=0,"",Model!AX33)</f>
        <v/>
      </c>
      <c r="BA30" s="204" t="str">
        <f aca="false">IF(Model!AY33=0,"",Model!AY33)</f>
        <v/>
      </c>
      <c r="BB30" s="204" t="str">
        <f aca="false">IF(Model!AZ33=0,"",Model!AZ33)</f>
        <v/>
      </c>
      <c r="BC30" s="204" t="str">
        <f aca="false">IF(Model!BA33=0,"",Model!BA33)</f>
        <v/>
      </c>
      <c r="BD30" s="204" t="str">
        <f aca="false">IF(Model!BB33=0,"",Model!BB33)</f>
        <v/>
      </c>
      <c r="BE30" s="204" t="str">
        <f aca="false">IF(Model!BC33=0,"",Model!BC33)</f>
        <v/>
      </c>
      <c r="BF30" s="204" t="str">
        <f aca="false">IF(Model!BD33=0,"",Model!BD33)</f>
        <v/>
      </c>
      <c r="BG30" s="204" t="str">
        <f aca="false">IF(Model!BE33=0,"",Model!BE33)</f>
        <v/>
      </c>
      <c r="BH30" s="204" t="str">
        <f aca="false">IF(Model!BF33=0,"",Model!BF33)</f>
        <v/>
      </c>
      <c r="BI30" s="204" t="str">
        <f aca="false">IF(Model!BG33=0,"",Model!BG33)</f>
        <v/>
      </c>
      <c r="BJ30" s="204" t="str">
        <f aca="false">IF(Model!BH33=0,"",Model!BH33)</f>
        <v/>
      </c>
      <c r="BK30" s="204" t="str">
        <f aca="false">IF(Model!BI33=0,"",Model!BI33)</f>
        <v/>
      </c>
      <c r="BL30" s="204" t="str">
        <f aca="false">IF(Model!BJ33=0,"",Model!BJ33)</f>
        <v/>
      </c>
      <c r="BM30" s="204" t="str">
        <f aca="false">IF(Model!BK33=0,"",Model!BK33)</f>
        <v/>
      </c>
      <c r="BN30" s="204" t="str">
        <f aca="false">IF(Model!BL33=0,"",Model!BL33)</f>
        <v/>
      </c>
      <c r="BO30" s="204" t="str">
        <f aca="false">IF(Model!BM33=0,"",Model!BM33)</f>
        <v/>
      </c>
      <c r="BP30" s="204" t="str">
        <f aca="false">IF(Model!BN33=0,"",Model!BN33)</f>
        <v/>
      </c>
      <c r="BQ30" s="204" t="str">
        <f aca="false">IF(Model!BO33=0,"",Model!BO33)</f>
        <v/>
      </c>
      <c r="BR30" s="204" t="str">
        <f aca="false">IF(Model!BP33=0,"",Model!BP33)</f>
        <v/>
      </c>
      <c r="BS30" s="204" t="str">
        <f aca="false">IF(Model!BQ33=0,"",Model!BQ33)</f>
        <v/>
      </c>
      <c r="BT30" s="204" t="str">
        <f aca="false">IF(Model!BR33=0,"",Model!BR33)</f>
        <v/>
      </c>
      <c r="BU30" s="204" t="str">
        <f aca="false">IF(Model!BS33=0,"",Model!BS33)</f>
        <v/>
      </c>
      <c r="BV30" s="204" t="str">
        <f aca="false">IF(Model!BT33=0,"",Model!BT33)</f>
        <v/>
      </c>
      <c r="BW30" s="204" t="str">
        <f aca="false">IF(Model!BU33=0,"",Model!BU33)</f>
        <v/>
      </c>
      <c r="BX30" s="204" t="str">
        <f aca="false">IF(Model!BV33=0,"",Model!BV33)</f>
        <v/>
      </c>
      <c r="BY30" s="204" t="str">
        <f aca="false">IF(Model!BW33=0,"",Model!BW33)</f>
        <v/>
      </c>
      <c r="BZ30" s="204" t="str">
        <f aca="false">IF(Model!BX33=0,"",Model!BX33)</f>
        <v/>
      </c>
      <c r="CA30" s="204" t="str">
        <f aca="false">IF(Model!BY33=0,"",Model!BY33)</f>
        <v/>
      </c>
      <c r="CB30" s="204" t="str">
        <f aca="false">IF(Model!BZ33=0,"",Model!BZ33)</f>
        <v/>
      </c>
      <c r="CC30" s="204" t="str">
        <f aca="false">IF(Model!CA33=0,"",Model!CA33)</f>
        <v/>
      </c>
      <c r="CD30" s="204" t="str">
        <f aca="false">IF(Model!CB33=0,"",Model!CB33)</f>
        <v/>
      </c>
      <c r="CE30" s="204" t="str">
        <f aca="false">IF(Model!CC33=0,"",Model!CC33)</f>
        <v/>
      </c>
      <c r="CF30" s="204" t="str">
        <f aca="false">IF(Model!CD33=0,"",Model!CD33)</f>
        <v/>
      </c>
      <c r="CG30" s="204" t="str">
        <f aca="false">IF(Model!CE33=0,"",Model!CE33)</f>
        <v/>
      </c>
      <c r="CH30" s="204" t="str">
        <f aca="false">IF(Model!CF33=0,"",Model!CF33)</f>
        <v/>
      </c>
      <c r="CI30" s="204" t="str">
        <f aca="false">IF(Model!CG33=0,"",Model!CG33)</f>
        <v/>
      </c>
      <c r="CJ30" s="204" t="str">
        <f aca="false">IF(Model!CH33=0,"",Model!CH33)</f>
        <v/>
      </c>
      <c r="CK30" s="204" t="str">
        <f aca="false">IF(Model!CI33=0,"",Model!CI33)</f>
        <v/>
      </c>
      <c r="CL30" s="204" t="str">
        <f aca="false">IF(Model!CJ33=0,"",Model!CJ33)</f>
        <v/>
      </c>
      <c r="CM30" s="204" t="str">
        <f aca="false">IF(Model!CK33=0,"",Model!CK33)</f>
        <v/>
      </c>
      <c r="CN30" s="204" t="str">
        <f aca="false">IF(Model!CL33=0,"",Model!CL33)</f>
        <v/>
      </c>
      <c r="CO30" s="204" t="str">
        <f aca="false">IF(Model!CM33=0,"",Model!CM33)</f>
        <v/>
      </c>
      <c r="CP30" s="204" t="str">
        <f aca="false">IF(Model!CN33=0,"",Model!CN33)</f>
        <v/>
      </c>
      <c r="CQ30" s="204" t="str">
        <f aca="false">IF(Model!CO33=0,"",Model!CO33)</f>
        <v/>
      </c>
      <c r="CR30" s="204" t="str">
        <f aca="false">IF(Model!CP33=0,"",Model!CP33)</f>
        <v/>
      </c>
      <c r="CS30" s="204" t="str">
        <f aca="false">IF(Model!CQ33=0,"",Model!CQ33)</f>
        <v/>
      </c>
      <c r="CT30" s="204" t="str">
        <f aca="false">IF(Model!CR33=0,"",Model!CR33)</f>
        <v/>
      </c>
      <c r="CU30" s="204" t="str">
        <f aca="false">IF(Model!CS33=0,"",Model!CS33)</f>
        <v/>
      </c>
      <c r="CV30" s="204" t="str">
        <f aca="false">IF(Model!CT33=0,"",Model!CT33)</f>
        <v/>
      </c>
      <c r="CW30" s="204" t="str">
        <f aca="false">IF(Model!CU33=0,"",Model!CU33)</f>
        <v/>
      </c>
      <c r="CX30" s="204" t="str">
        <f aca="false">IF(Model!CV33=0,"",Model!CV33)</f>
        <v/>
      </c>
      <c r="CY30" s="204" t="str">
        <f aca="false">IF(Model!CW33=0,"",Model!CW33)</f>
        <v/>
      </c>
      <c r="CZ30" s="204" t="str">
        <f aca="false">IF(Model!CX33=0,"",Model!CX33)</f>
        <v/>
      </c>
      <c r="DA30" s="204" t="str">
        <f aca="false">IF(Model!CY33=0,"",Model!CY33)</f>
        <v/>
      </c>
      <c r="DB30" s="204" t="str">
        <f aca="false">IF(Model!CZ33=0,"",Model!CZ33)</f>
        <v/>
      </c>
    </row>
    <row r="31" customFormat="false" ht="15" hidden="false" customHeight="true" outlineLevel="0" collapsed="false">
      <c r="A31" s="123" t="s">
        <v>28</v>
      </c>
      <c r="B31" s="201" t="n">
        <f aca="false">Projects!$B$25</f>
        <v>18000000</v>
      </c>
      <c r="C31" s="202" t="n">
        <f aca="false">EDATE(Model!$E$2,Projects!$C$25-1)</f>
        <v>47300</v>
      </c>
      <c r="D31" s="202" t="n">
        <f aca="false">EDATE(Model!$E$2,Projects!$C$25+Projects!$D$25-2)</f>
        <v>47849</v>
      </c>
      <c r="E31" s="203" t="n">
        <f aca="false">Projects!$D$25</f>
        <v>19</v>
      </c>
      <c r="F31" s="201" t="n">
        <f aca="false">SUM(G31:DB31)</f>
        <v>0</v>
      </c>
      <c r="G31" s="204" t="str">
        <f aca="false">IF(Model!E34=0,"",Model!E34)</f>
        <v/>
      </c>
      <c r="H31" s="204" t="str">
        <f aca="false">IF(Model!F34=0,"",Model!F34)</f>
        <v/>
      </c>
      <c r="I31" s="204" t="str">
        <f aca="false">IF(Model!G34=0,"",Model!G34)</f>
        <v/>
      </c>
      <c r="J31" s="204" t="str">
        <f aca="false">IF(Model!H34=0,"",Model!H34)</f>
        <v/>
      </c>
      <c r="K31" s="204" t="str">
        <f aca="false">IF(Model!I34=0,"",Model!I34)</f>
        <v/>
      </c>
      <c r="L31" s="204" t="str">
        <f aca="false">IF(Model!J34=0,"",Model!J34)</f>
        <v/>
      </c>
      <c r="M31" s="204" t="str">
        <f aca="false">IF(Model!K34=0,"",Model!K34)</f>
        <v/>
      </c>
      <c r="N31" s="204" t="str">
        <f aca="false">IF(Model!L34=0,"",Model!L34)</f>
        <v/>
      </c>
      <c r="O31" s="204" t="str">
        <f aca="false">IF(Model!M34=0,"",Model!M34)</f>
        <v/>
      </c>
      <c r="P31" s="204" t="str">
        <f aca="false">IF(Model!N34=0,"",Model!N34)</f>
        <v/>
      </c>
      <c r="Q31" s="204" t="str">
        <f aca="false">IF(Model!O34=0,"",Model!O34)</f>
        <v/>
      </c>
      <c r="R31" s="204" t="str">
        <f aca="false">IF(Model!P34=0,"",Model!P34)</f>
        <v/>
      </c>
      <c r="S31" s="204" t="str">
        <f aca="false">IF(Model!Q34=0,"",Model!Q34)</f>
        <v/>
      </c>
      <c r="T31" s="204" t="str">
        <f aca="false">IF(Model!R34=0,"",Model!R34)</f>
        <v/>
      </c>
      <c r="U31" s="204" t="str">
        <f aca="false">IF(Model!S34=0,"",Model!S34)</f>
        <v/>
      </c>
      <c r="V31" s="204" t="str">
        <f aca="false">IF(Model!T34=0,"",Model!T34)</f>
        <v/>
      </c>
      <c r="W31" s="204" t="str">
        <f aca="false">IF(Model!U34=0,"",Model!U34)</f>
        <v/>
      </c>
      <c r="X31" s="204" t="str">
        <f aca="false">IF(Model!V34=0,"",Model!V34)</f>
        <v/>
      </c>
      <c r="Y31" s="204" t="str">
        <f aca="false">IF(Model!W34=0,"",Model!W34)</f>
        <v/>
      </c>
      <c r="Z31" s="204" t="str">
        <f aca="false">IF(Model!X34=0,"",Model!X34)</f>
        <v/>
      </c>
      <c r="AA31" s="204" t="str">
        <f aca="false">IF(Model!Y34=0,"",Model!Y34)</f>
        <v/>
      </c>
      <c r="AB31" s="204" t="str">
        <f aca="false">IF(Model!Z34=0,"",Model!Z34)</f>
        <v/>
      </c>
      <c r="AC31" s="204" t="str">
        <f aca="false">IF(Model!AA34=0,"",Model!AA34)</f>
        <v/>
      </c>
      <c r="AD31" s="204" t="str">
        <f aca="false">IF(Model!AB34=0,"",Model!AB34)</f>
        <v/>
      </c>
      <c r="AE31" s="204" t="str">
        <f aca="false">IF(Model!AC34=0,"",Model!AC34)</f>
        <v/>
      </c>
      <c r="AF31" s="204" t="str">
        <f aca="false">IF(Model!AD34=0,"",Model!AD34)</f>
        <v/>
      </c>
      <c r="AG31" s="204" t="str">
        <f aca="false">IF(Model!AE34=0,"",Model!AE34)</f>
        <v/>
      </c>
      <c r="AH31" s="204" t="str">
        <f aca="false">IF(Model!AF34=0,"",Model!AF34)</f>
        <v/>
      </c>
      <c r="AI31" s="204" t="str">
        <f aca="false">IF(Model!AG34=0,"",Model!AG34)</f>
        <v/>
      </c>
      <c r="AJ31" s="204" t="str">
        <f aca="false">IF(Model!AH34=0,"",Model!AH34)</f>
        <v/>
      </c>
      <c r="AK31" s="204" t="str">
        <f aca="false">IF(Model!AI34=0,"",Model!AI34)</f>
        <v/>
      </c>
      <c r="AL31" s="204" t="str">
        <f aca="false">IF(Model!AJ34=0,"",Model!AJ34)</f>
        <v/>
      </c>
      <c r="AM31" s="204" t="str">
        <f aca="false">IF(Model!AK34=0,"",Model!AK34)</f>
        <v/>
      </c>
      <c r="AN31" s="204" t="str">
        <f aca="false">IF(Model!AL34=0,"",Model!AL34)</f>
        <v/>
      </c>
      <c r="AO31" s="204" t="str">
        <f aca="false">IF(Model!AM34=0,"",Model!AM34)</f>
        <v/>
      </c>
      <c r="AP31" s="204" t="str">
        <f aca="false">IF(Model!AN34=0,"",Model!AN34)</f>
        <v/>
      </c>
      <c r="AQ31" s="204" t="str">
        <f aca="false">IF(Model!AO34=0,"",Model!AO34)</f>
        <v/>
      </c>
      <c r="AR31" s="204" t="str">
        <f aca="false">IF(Model!AP34=0,"",Model!AP34)</f>
        <v/>
      </c>
      <c r="AS31" s="204" t="str">
        <f aca="false">IF(Model!AQ34=0,"",Model!AQ34)</f>
        <v/>
      </c>
      <c r="AT31" s="204" t="str">
        <f aca="false">IF(Model!AR34=0,"",Model!AR34)</f>
        <v/>
      </c>
      <c r="AU31" s="204" t="str">
        <f aca="false">IF(Model!AS34=0,"",Model!AS34)</f>
        <v/>
      </c>
      <c r="AV31" s="204" t="str">
        <f aca="false">IF(Model!AT34=0,"",Model!AT34)</f>
        <v/>
      </c>
      <c r="AW31" s="204" t="str">
        <f aca="false">IF(Model!AU34=0,"",Model!AU34)</f>
        <v/>
      </c>
      <c r="AX31" s="204" t="str">
        <f aca="false">IF(Model!AV34=0,"",Model!AV34)</f>
        <v/>
      </c>
      <c r="AY31" s="204" t="str">
        <f aca="false">IF(Model!AW34=0,"",Model!AW34)</f>
        <v/>
      </c>
      <c r="AZ31" s="204" t="str">
        <f aca="false">IF(Model!AX34=0,"",Model!AX34)</f>
        <v/>
      </c>
      <c r="BA31" s="204" t="str">
        <f aca="false">IF(Model!AY34=0,"",Model!AY34)</f>
        <v/>
      </c>
      <c r="BB31" s="204" t="str">
        <f aca="false">IF(Model!AZ34=0,"",Model!AZ34)</f>
        <v/>
      </c>
      <c r="BC31" s="204" t="str">
        <f aca="false">IF(Model!BA34=0,"",Model!BA34)</f>
        <v/>
      </c>
      <c r="BD31" s="204" t="str">
        <f aca="false">IF(Model!BB34=0,"",Model!BB34)</f>
        <v/>
      </c>
      <c r="BE31" s="204" t="str">
        <f aca="false">IF(Model!BC34=0,"",Model!BC34)</f>
        <v/>
      </c>
      <c r="BF31" s="204" t="str">
        <f aca="false">IF(Model!BD34=0,"",Model!BD34)</f>
        <v/>
      </c>
      <c r="BG31" s="204" t="str">
        <f aca="false">IF(Model!BE34=0,"",Model!BE34)</f>
        <v/>
      </c>
      <c r="BH31" s="204" t="str">
        <f aca="false">IF(Model!BF34=0,"",Model!BF34)</f>
        <v/>
      </c>
      <c r="BI31" s="204" t="str">
        <f aca="false">IF(Model!BG34=0,"",Model!BG34)</f>
        <v/>
      </c>
      <c r="BJ31" s="204" t="str">
        <f aca="false">IF(Model!BH34=0,"",Model!BH34)</f>
        <v/>
      </c>
      <c r="BK31" s="204" t="str">
        <f aca="false">IF(Model!BI34=0,"",Model!BI34)</f>
        <v/>
      </c>
      <c r="BL31" s="204" t="str">
        <f aca="false">IF(Model!BJ34=0,"",Model!BJ34)</f>
        <v/>
      </c>
      <c r="BM31" s="204" t="str">
        <f aca="false">IF(Model!BK34=0,"",Model!BK34)</f>
        <v/>
      </c>
      <c r="BN31" s="204" t="str">
        <f aca="false">IF(Model!BL34=0,"",Model!BL34)</f>
        <v/>
      </c>
      <c r="BO31" s="204" t="str">
        <f aca="false">IF(Model!BM34=0,"",Model!BM34)</f>
        <v/>
      </c>
      <c r="BP31" s="204" t="str">
        <f aca="false">IF(Model!BN34=0,"",Model!BN34)</f>
        <v/>
      </c>
      <c r="BQ31" s="204" t="str">
        <f aca="false">IF(Model!BO34=0,"",Model!BO34)</f>
        <v/>
      </c>
      <c r="BR31" s="204" t="str">
        <f aca="false">IF(Model!BP34=0,"",Model!BP34)</f>
        <v/>
      </c>
      <c r="BS31" s="204" t="str">
        <f aca="false">IF(Model!BQ34=0,"",Model!BQ34)</f>
        <v/>
      </c>
      <c r="BT31" s="204" t="str">
        <f aca="false">IF(Model!BR34=0,"",Model!BR34)</f>
        <v/>
      </c>
      <c r="BU31" s="204" t="str">
        <f aca="false">IF(Model!BS34=0,"",Model!BS34)</f>
        <v/>
      </c>
      <c r="BV31" s="204" t="str">
        <f aca="false">IF(Model!BT34=0,"",Model!BT34)</f>
        <v/>
      </c>
      <c r="BW31" s="204" t="str">
        <f aca="false">IF(Model!BU34=0,"",Model!BU34)</f>
        <v/>
      </c>
      <c r="BX31" s="204" t="str">
        <f aca="false">IF(Model!BV34=0,"",Model!BV34)</f>
        <v/>
      </c>
      <c r="BY31" s="204" t="str">
        <f aca="false">IF(Model!BW34=0,"",Model!BW34)</f>
        <v/>
      </c>
      <c r="BZ31" s="204" t="str">
        <f aca="false">IF(Model!BX34=0,"",Model!BX34)</f>
        <v/>
      </c>
      <c r="CA31" s="204" t="str">
        <f aca="false">IF(Model!BY34=0,"",Model!BY34)</f>
        <v/>
      </c>
      <c r="CB31" s="204" t="str">
        <f aca="false">IF(Model!BZ34=0,"",Model!BZ34)</f>
        <v/>
      </c>
      <c r="CC31" s="204" t="str">
        <f aca="false">IF(Model!CA34=0,"",Model!CA34)</f>
        <v/>
      </c>
      <c r="CD31" s="204" t="str">
        <f aca="false">IF(Model!CB34=0,"",Model!CB34)</f>
        <v/>
      </c>
      <c r="CE31" s="204" t="str">
        <f aca="false">IF(Model!CC34=0,"",Model!CC34)</f>
        <v/>
      </c>
      <c r="CF31" s="204" t="str">
        <f aca="false">IF(Model!CD34=0,"",Model!CD34)</f>
        <v/>
      </c>
      <c r="CG31" s="204" t="str">
        <f aca="false">IF(Model!CE34=0,"",Model!CE34)</f>
        <v/>
      </c>
      <c r="CH31" s="204" t="str">
        <f aca="false">IF(Model!CF34=0,"",Model!CF34)</f>
        <v/>
      </c>
      <c r="CI31" s="204" t="str">
        <f aca="false">IF(Model!CG34=0,"",Model!CG34)</f>
        <v/>
      </c>
      <c r="CJ31" s="204" t="str">
        <f aca="false">IF(Model!CH34=0,"",Model!CH34)</f>
        <v/>
      </c>
      <c r="CK31" s="204" t="str">
        <f aca="false">IF(Model!CI34=0,"",Model!CI34)</f>
        <v/>
      </c>
      <c r="CL31" s="204" t="str">
        <f aca="false">IF(Model!CJ34=0,"",Model!CJ34)</f>
        <v/>
      </c>
      <c r="CM31" s="204" t="str">
        <f aca="false">IF(Model!CK34=0,"",Model!CK34)</f>
        <v/>
      </c>
      <c r="CN31" s="204" t="str">
        <f aca="false">IF(Model!CL34=0,"",Model!CL34)</f>
        <v/>
      </c>
      <c r="CO31" s="204" t="str">
        <f aca="false">IF(Model!CM34=0,"",Model!CM34)</f>
        <v/>
      </c>
      <c r="CP31" s="204" t="str">
        <f aca="false">IF(Model!CN34=0,"",Model!CN34)</f>
        <v/>
      </c>
      <c r="CQ31" s="204" t="str">
        <f aca="false">IF(Model!CO34=0,"",Model!CO34)</f>
        <v/>
      </c>
      <c r="CR31" s="204" t="str">
        <f aca="false">IF(Model!CP34=0,"",Model!CP34)</f>
        <v/>
      </c>
      <c r="CS31" s="204" t="str">
        <f aca="false">IF(Model!CQ34=0,"",Model!CQ34)</f>
        <v/>
      </c>
      <c r="CT31" s="204" t="str">
        <f aca="false">IF(Model!CR34=0,"",Model!CR34)</f>
        <v/>
      </c>
      <c r="CU31" s="204" t="str">
        <f aca="false">IF(Model!CS34=0,"",Model!CS34)</f>
        <v/>
      </c>
      <c r="CV31" s="204" t="str">
        <f aca="false">IF(Model!CT34=0,"",Model!CT34)</f>
        <v/>
      </c>
      <c r="CW31" s="204" t="str">
        <f aca="false">IF(Model!CU34=0,"",Model!CU34)</f>
        <v/>
      </c>
      <c r="CX31" s="204" t="str">
        <f aca="false">IF(Model!CV34=0,"",Model!CV34)</f>
        <v/>
      </c>
      <c r="CY31" s="204" t="str">
        <f aca="false">IF(Model!CW34=0,"",Model!CW34)</f>
        <v/>
      </c>
      <c r="CZ31" s="204" t="str">
        <f aca="false">IF(Model!CX34=0,"",Model!CX34)</f>
        <v/>
      </c>
      <c r="DA31" s="204" t="str">
        <f aca="false">IF(Model!CY34=0,"",Model!CY34)</f>
        <v/>
      </c>
      <c r="DB31" s="204" t="str">
        <f aca="false">IF(Model!CZ34=0,"",Model!CZ34)</f>
        <v/>
      </c>
    </row>
    <row r="32" customFormat="false" ht="15" hidden="false" customHeight="true" outlineLevel="0" collapsed="false">
      <c r="A32" s="123" t="s">
        <v>29</v>
      </c>
      <c r="B32" s="201" t="n">
        <f aca="false">Projects!$B$26</f>
        <v>18000000</v>
      </c>
      <c r="C32" s="202" t="n">
        <f aca="false">EDATE(Model!$E$2,Projects!$C$26-1)</f>
        <v>47362</v>
      </c>
      <c r="D32" s="202" t="n">
        <f aca="false">EDATE(Model!$E$2,Projects!$C$26+Projects!$D$26-2)</f>
        <v>47908</v>
      </c>
      <c r="E32" s="203" t="n">
        <f aca="false">Projects!$D$26</f>
        <v>19</v>
      </c>
      <c r="F32" s="201" t="n">
        <f aca="false">SUM(G32:DB32)</f>
        <v>0</v>
      </c>
      <c r="G32" s="204" t="str">
        <f aca="false">IF(Model!E35=0,"",Model!E35)</f>
        <v/>
      </c>
      <c r="H32" s="204" t="str">
        <f aca="false">IF(Model!F35=0,"",Model!F35)</f>
        <v/>
      </c>
      <c r="I32" s="204" t="str">
        <f aca="false">IF(Model!G35=0,"",Model!G35)</f>
        <v/>
      </c>
      <c r="J32" s="204" t="str">
        <f aca="false">IF(Model!H35=0,"",Model!H35)</f>
        <v/>
      </c>
      <c r="K32" s="204" t="str">
        <f aca="false">IF(Model!I35=0,"",Model!I35)</f>
        <v/>
      </c>
      <c r="L32" s="204" t="str">
        <f aca="false">IF(Model!J35=0,"",Model!J35)</f>
        <v/>
      </c>
      <c r="M32" s="204" t="str">
        <f aca="false">IF(Model!K35=0,"",Model!K35)</f>
        <v/>
      </c>
      <c r="N32" s="204" t="str">
        <f aca="false">IF(Model!L35=0,"",Model!L35)</f>
        <v/>
      </c>
      <c r="O32" s="204" t="str">
        <f aca="false">IF(Model!M35=0,"",Model!M35)</f>
        <v/>
      </c>
      <c r="P32" s="204" t="str">
        <f aca="false">IF(Model!N35=0,"",Model!N35)</f>
        <v/>
      </c>
      <c r="Q32" s="204" t="str">
        <f aca="false">IF(Model!O35=0,"",Model!O35)</f>
        <v/>
      </c>
      <c r="R32" s="204" t="str">
        <f aca="false">IF(Model!P35=0,"",Model!P35)</f>
        <v/>
      </c>
      <c r="S32" s="204" t="str">
        <f aca="false">IF(Model!Q35=0,"",Model!Q35)</f>
        <v/>
      </c>
      <c r="T32" s="204" t="str">
        <f aca="false">IF(Model!R35=0,"",Model!R35)</f>
        <v/>
      </c>
      <c r="U32" s="204" t="str">
        <f aca="false">IF(Model!S35=0,"",Model!S35)</f>
        <v/>
      </c>
      <c r="V32" s="204" t="str">
        <f aca="false">IF(Model!T35=0,"",Model!T35)</f>
        <v/>
      </c>
      <c r="W32" s="204" t="str">
        <f aca="false">IF(Model!U35=0,"",Model!U35)</f>
        <v/>
      </c>
      <c r="X32" s="204" t="str">
        <f aca="false">IF(Model!V35=0,"",Model!V35)</f>
        <v/>
      </c>
      <c r="Y32" s="204" t="str">
        <f aca="false">IF(Model!W35=0,"",Model!W35)</f>
        <v/>
      </c>
      <c r="Z32" s="204" t="str">
        <f aca="false">IF(Model!X35=0,"",Model!X35)</f>
        <v/>
      </c>
      <c r="AA32" s="204" t="str">
        <f aca="false">IF(Model!Y35=0,"",Model!Y35)</f>
        <v/>
      </c>
      <c r="AB32" s="204" t="str">
        <f aca="false">IF(Model!Z35=0,"",Model!Z35)</f>
        <v/>
      </c>
      <c r="AC32" s="204" t="str">
        <f aca="false">IF(Model!AA35=0,"",Model!AA35)</f>
        <v/>
      </c>
      <c r="AD32" s="204" t="str">
        <f aca="false">IF(Model!AB35=0,"",Model!AB35)</f>
        <v/>
      </c>
      <c r="AE32" s="204" t="str">
        <f aca="false">IF(Model!AC35=0,"",Model!AC35)</f>
        <v/>
      </c>
      <c r="AF32" s="204" t="str">
        <f aca="false">IF(Model!AD35=0,"",Model!AD35)</f>
        <v/>
      </c>
      <c r="AG32" s="204" t="str">
        <f aca="false">IF(Model!AE35=0,"",Model!AE35)</f>
        <v/>
      </c>
      <c r="AH32" s="204" t="str">
        <f aca="false">IF(Model!AF35=0,"",Model!AF35)</f>
        <v/>
      </c>
      <c r="AI32" s="204" t="str">
        <f aca="false">IF(Model!AG35=0,"",Model!AG35)</f>
        <v/>
      </c>
      <c r="AJ32" s="204" t="str">
        <f aca="false">IF(Model!AH35=0,"",Model!AH35)</f>
        <v/>
      </c>
      <c r="AK32" s="204" t="str">
        <f aca="false">IF(Model!AI35=0,"",Model!AI35)</f>
        <v/>
      </c>
      <c r="AL32" s="204" t="str">
        <f aca="false">IF(Model!AJ35=0,"",Model!AJ35)</f>
        <v/>
      </c>
      <c r="AM32" s="204" t="str">
        <f aca="false">IF(Model!AK35=0,"",Model!AK35)</f>
        <v/>
      </c>
      <c r="AN32" s="204" t="str">
        <f aca="false">IF(Model!AL35=0,"",Model!AL35)</f>
        <v/>
      </c>
      <c r="AO32" s="204" t="str">
        <f aca="false">IF(Model!AM35=0,"",Model!AM35)</f>
        <v/>
      </c>
      <c r="AP32" s="204" t="str">
        <f aca="false">IF(Model!AN35=0,"",Model!AN35)</f>
        <v/>
      </c>
      <c r="AQ32" s="204" t="str">
        <f aca="false">IF(Model!AO35=0,"",Model!AO35)</f>
        <v/>
      </c>
      <c r="AR32" s="204" t="str">
        <f aca="false">IF(Model!AP35=0,"",Model!AP35)</f>
        <v/>
      </c>
      <c r="AS32" s="204" t="str">
        <f aca="false">IF(Model!AQ35=0,"",Model!AQ35)</f>
        <v/>
      </c>
      <c r="AT32" s="204" t="str">
        <f aca="false">IF(Model!AR35=0,"",Model!AR35)</f>
        <v/>
      </c>
      <c r="AU32" s="204" t="str">
        <f aca="false">IF(Model!AS35=0,"",Model!AS35)</f>
        <v/>
      </c>
      <c r="AV32" s="204" t="str">
        <f aca="false">IF(Model!AT35=0,"",Model!AT35)</f>
        <v/>
      </c>
      <c r="AW32" s="204" t="str">
        <f aca="false">IF(Model!AU35=0,"",Model!AU35)</f>
        <v/>
      </c>
      <c r="AX32" s="204" t="str">
        <f aca="false">IF(Model!AV35=0,"",Model!AV35)</f>
        <v/>
      </c>
      <c r="AY32" s="204" t="str">
        <f aca="false">IF(Model!AW35=0,"",Model!AW35)</f>
        <v/>
      </c>
      <c r="AZ32" s="204" t="str">
        <f aca="false">IF(Model!AX35=0,"",Model!AX35)</f>
        <v/>
      </c>
      <c r="BA32" s="204" t="str">
        <f aca="false">IF(Model!AY35=0,"",Model!AY35)</f>
        <v/>
      </c>
      <c r="BB32" s="204" t="str">
        <f aca="false">IF(Model!AZ35=0,"",Model!AZ35)</f>
        <v/>
      </c>
      <c r="BC32" s="204" t="str">
        <f aca="false">IF(Model!BA35=0,"",Model!BA35)</f>
        <v/>
      </c>
      <c r="BD32" s="204" t="str">
        <f aca="false">IF(Model!BB35=0,"",Model!BB35)</f>
        <v/>
      </c>
      <c r="BE32" s="204" t="str">
        <f aca="false">IF(Model!BC35=0,"",Model!BC35)</f>
        <v/>
      </c>
      <c r="BF32" s="204" t="str">
        <f aca="false">IF(Model!BD35=0,"",Model!BD35)</f>
        <v/>
      </c>
      <c r="BG32" s="204" t="str">
        <f aca="false">IF(Model!BE35=0,"",Model!BE35)</f>
        <v/>
      </c>
      <c r="BH32" s="204" t="str">
        <f aca="false">IF(Model!BF35=0,"",Model!BF35)</f>
        <v/>
      </c>
      <c r="BI32" s="204" t="str">
        <f aca="false">IF(Model!BG35=0,"",Model!BG35)</f>
        <v/>
      </c>
      <c r="BJ32" s="204" t="str">
        <f aca="false">IF(Model!BH35=0,"",Model!BH35)</f>
        <v/>
      </c>
      <c r="BK32" s="204" t="str">
        <f aca="false">IF(Model!BI35=0,"",Model!BI35)</f>
        <v/>
      </c>
      <c r="BL32" s="204" t="str">
        <f aca="false">IF(Model!BJ35=0,"",Model!BJ35)</f>
        <v/>
      </c>
      <c r="BM32" s="204" t="str">
        <f aca="false">IF(Model!BK35=0,"",Model!BK35)</f>
        <v/>
      </c>
      <c r="BN32" s="204" t="str">
        <f aca="false">IF(Model!BL35=0,"",Model!BL35)</f>
        <v/>
      </c>
      <c r="BO32" s="204" t="str">
        <f aca="false">IF(Model!BM35=0,"",Model!BM35)</f>
        <v/>
      </c>
      <c r="BP32" s="204" t="str">
        <f aca="false">IF(Model!BN35=0,"",Model!BN35)</f>
        <v/>
      </c>
      <c r="BQ32" s="204" t="str">
        <f aca="false">IF(Model!BO35=0,"",Model!BO35)</f>
        <v/>
      </c>
      <c r="BR32" s="204" t="str">
        <f aca="false">IF(Model!BP35=0,"",Model!BP35)</f>
        <v/>
      </c>
      <c r="BS32" s="204" t="str">
        <f aca="false">IF(Model!BQ35=0,"",Model!BQ35)</f>
        <v/>
      </c>
      <c r="BT32" s="204" t="str">
        <f aca="false">IF(Model!BR35=0,"",Model!BR35)</f>
        <v/>
      </c>
      <c r="BU32" s="204" t="str">
        <f aca="false">IF(Model!BS35=0,"",Model!BS35)</f>
        <v/>
      </c>
      <c r="BV32" s="204" t="str">
        <f aca="false">IF(Model!BT35=0,"",Model!BT35)</f>
        <v/>
      </c>
      <c r="BW32" s="204" t="str">
        <f aca="false">IF(Model!BU35=0,"",Model!BU35)</f>
        <v/>
      </c>
      <c r="BX32" s="204" t="str">
        <f aca="false">IF(Model!BV35=0,"",Model!BV35)</f>
        <v/>
      </c>
      <c r="BY32" s="204" t="str">
        <f aca="false">IF(Model!BW35=0,"",Model!BW35)</f>
        <v/>
      </c>
      <c r="BZ32" s="204" t="str">
        <f aca="false">IF(Model!BX35=0,"",Model!BX35)</f>
        <v/>
      </c>
      <c r="CA32" s="204" t="str">
        <f aca="false">IF(Model!BY35=0,"",Model!BY35)</f>
        <v/>
      </c>
      <c r="CB32" s="204" t="str">
        <f aca="false">IF(Model!BZ35=0,"",Model!BZ35)</f>
        <v/>
      </c>
      <c r="CC32" s="204" t="str">
        <f aca="false">IF(Model!CA35=0,"",Model!CA35)</f>
        <v/>
      </c>
      <c r="CD32" s="204" t="str">
        <f aca="false">IF(Model!CB35=0,"",Model!CB35)</f>
        <v/>
      </c>
      <c r="CE32" s="204" t="str">
        <f aca="false">IF(Model!CC35=0,"",Model!CC35)</f>
        <v/>
      </c>
      <c r="CF32" s="204" t="str">
        <f aca="false">IF(Model!CD35=0,"",Model!CD35)</f>
        <v/>
      </c>
      <c r="CG32" s="204" t="str">
        <f aca="false">IF(Model!CE35=0,"",Model!CE35)</f>
        <v/>
      </c>
      <c r="CH32" s="204" t="str">
        <f aca="false">IF(Model!CF35=0,"",Model!CF35)</f>
        <v/>
      </c>
      <c r="CI32" s="204" t="str">
        <f aca="false">IF(Model!CG35=0,"",Model!CG35)</f>
        <v/>
      </c>
      <c r="CJ32" s="204" t="str">
        <f aca="false">IF(Model!CH35=0,"",Model!CH35)</f>
        <v/>
      </c>
      <c r="CK32" s="204" t="str">
        <f aca="false">IF(Model!CI35=0,"",Model!CI35)</f>
        <v/>
      </c>
      <c r="CL32" s="204" t="str">
        <f aca="false">IF(Model!CJ35=0,"",Model!CJ35)</f>
        <v/>
      </c>
      <c r="CM32" s="204" t="str">
        <f aca="false">IF(Model!CK35=0,"",Model!CK35)</f>
        <v/>
      </c>
      <c r="CN32" s="204" t="str">
        <f aca="false">IF(Model!CL35=0,"",Model!CL35)</f>
        <v/>
      </c>
      <c r="CO32" s="204" t="str">
        <f aca="false">IF(Model!CM35=0,"",Model!CM35)</f>
        <v/>
      </c>
      <c r="CP32" s="204" t="str">
        <f aca="false">IF(Model!CN35=0,"",Model!CN35)</f>
        <v/>
      </c>
      <c r="CQ32" s="204" t="str">
        <f aca="false">IF(Model!CO35=0,"",Model!CO35)</f>
        <v/>
      </c>
      <c r="CR32" s="204" t="str">
        <f aca="false">IF(Model!CP35=0,"",Model!CP35)</f>
        <v/>
      </c>
      <c r="CS32" s="204" t="str">
        <f aca="false">IF(Model!CQ35=0,"",Model!CQ35)</f>
        <v/>
      </c>
      <c r="CT32" s="204" t="str">
        <f aca="false">IF(Model!CR35=0,"",Model!CR35)</f>
        <v/>
      </c>
      <c r="CU32" s="204" t="str">
        <f aca="false">IF(Model!CS35=0,"",Model!CS35)</f>
        <v/>
      </c>
      <c r="CV32" s="204" t="str">
        <f aca="false">IF(Model!CT35=0,"",Model!CT35)</f>
        <v/>
      </c>
      <c r="CW32" s="204" t="str">
        <f aca="false">IF(Model!CU35=0,"",Model!CU35)</f>
        <v/>
      </c>
      <c r="CX32" s="204" t="str">
        <f aca="false">IF(Model!CV35=0,"",Model!CV35)</f>
        <v/>
      </c>
      <c r="CY32" s="204" t="str">
        <f aca="false">IF(Model!CW35=0,"",Model!CW35)</f>
        <v/>
      </c>
      <c r="CZ32" s="204" t="str">
        <f aca="false">IF(Model!CX35=0,"",Model!CX35)</f>
        <v/>
      </c>
      <c r="DA32" s="204" t="str">
        <f aca="false">IF(Model!CY35=0,"",Model!CY35)</f>
        <v/>
      </c>
      <c r="DB32" s="204" t="str">
        <f aca="false">IF(Model!CZ35=0,"",Model!CZ35)</f>
        <v/>
      </c>
    </row>
    <row r="33" customFormat="false" ht="15" hidden="false" customHeight="true" outlineLevel="0" collapsed="false">
      <c r="A33" s="123" t="s">
        <v>30</v>
      </c>
      <c r="B33" s="201" t="n">
        <f aca="false">Projects!$B$27</f>
        <v>15000000</v>
      </c>
      <c r="C33" s="202" t="n">
        <f aca="false">EDATE(Model!$E$2,Projects!$C$27-1)</f>
        <v>47423</v>
      </c>
      <c r="D33" s="202" t="n">
        <f aca="false">EDATE(Model!$E$2,Projects!$C$27+Projects!$D$27-2)</f>
        <v>47969</v>
      </c>
      <c r="E33" s="203" t="n">
        <f aca="false">Projects!$D$27</f>
        <v>19</v>
      </c>
      <c r="F33" s="201" t="n">
        <f aca="false">SUM(G33:DB33)</f>
        <v>0</v>
      </c>
      <c r="G33" s="204" t="str">
        <f aca="false">IF(Model!E36=0,"",Model!E36)</f>
        <v/>
      </c>
      <c r="H33" s="204" t="str">
        <f aca="false">IF(Model!F36=0,"",Model!F36)</f>
        <v/>
      </c>
      <c r="I33" s="204" t="str">
        <f aca="false">IF(Model!G36=0,"",Model!G36)</f>
        <v/>
      </c>
      <c r="J33" s="204" t="str">
        <f aca="false">IF(Model!H36=0,"",Model!H36)</f>
        <v/>
      </c>
      <c r="K33" s="204" t="str">
        <f aca="false">IF(Model!I36=0,"",Model!I36)</f>
        <v/>
      </c>
      <c r="L33" s="204" t="str">
        <f aca="false">IF(Model!J36=0,"",Model!J36)</f>
        <v/>
      </c>
      <c r="M33" s="204" t="str">
        <f aca="false">IF(Model!K36=0,"",Model!K36)</f>
        <v/>
      </c>
      <c r="N33" s="204" t="str">
        <f aca="false">IF(Model!L36=0,"",Model!L36)</f>
        <v/>
      </c>
      <c r="O33" s="204" t="str">
        <f aca="false">IF(Model!M36=0,"",Model!M36)</f>
        <v/>
      </c>
      <c r="P33" s="204" t="str">
        <f aca="false">IF(Model!N36=0,"",Model!N36)</f>
        <v/>
      </c>
      <c r="Q33" s="204" t="str">
        <f aca="false">IF(Model!O36=0,"",Model!O36)</f>
        <v/>
      </c>
      <c r="R33" s="204" t="str">
        <f aca="false">IF(Model!P36=0,"",Model!P36)</f>
        <v/>
      </c>
      <c r="S33" s="204" t="str">
        <f aca="false">IF(Model!Q36=0,"",Model!Q36)</f>
        <v/>
      </c>
      <c r="T33" s="204" t="str">
        <f aca="false">IF(Model!R36=0,"",Model!R36)</f>
        <v/>
      </c>
      <c r="U33" s="204" t="str">
        <f aca="false">IF(Model!S36=0,"",Model!S36)</f>
        <v/>
      </c>
      <c r="V33" s="204" t="str">
        <f aca="false">IF(Model!T36=0,"",Model!T36)</f>
        <v/>
      </c>
      <c r="W33" s="204" t="str">
        <f aca="false">IF(Model!U36=0,"",Model!U36)</f>
        <v/>
      </c>
      <c r="X33" s="204" t="str">
        <f aca="false">IF(Model!V36=0,"",Model!V36)</f>
        <v/>
      </c>
      <c r="Y33" s="204" t="str">
        <f aca="false">IF(Model!W36=0,"",Model!W36)</f>
        <v/>
      </c>
      <c r="Z33" s="204" t="str">
        <f aca="false">IF(Model!X36=0,"",Model!X36)</f>
        <v/>
      </c>
      <c r="AA33" s="204" t="str">
        <f aca="false">IF(Model!Y36=0,"",Model!Y36)</f>
        <v/>
      </c>
      <c r="AB33" s="204" t="str">
        <f aca="false">IF(Model!Z36=0,"",Model!Z36)</f>
        <v/>
      </c>
      <c r="AC33" s="204" t="str">
        <f aca="false">IF(Model!AA36=0,"",Model!AA36)</f>
        <v/>
      </c>
      <c r="AD33" s="204" t="str">
        <f aca="false">IF(Model!AB36=0,"",Model!AB36)</f>
        <v/>
      </c>
      <c r="AE33" s="204" t="str">
        <f aca="false">IF(Model!AC36=0,"",Model!AC36)</f>
        <v/>
      </c>
      <c r="AF33" s="204" t="str">
        <f aca="false">IF(Model!AD36=0,"",Model!AD36)</f>
        <v/>
      </c>
      <c r="AG33" s="204" t="str">
        <f aca="false">IF(Model!AE36=0,"",Model!AE36)</f>
        <v/>
      </c>
      <c r="AH33" s="204" t="str">
        <f aca="false">IF(Model!AF36=0,"",Model!AF36)</f>
        <v/>
      </c>
      <c r="AI33" s="204" t="str">
        <f aca="false">IF(Model!AG36=0,"",Model!AG36)</f>
        <v/>
      </c>
      <c r="AJ33" s="204" t="str">
        <f aca="false">IF(Model!AH36=0,"",Model!AH36)</f>
        <v/>
      </c>
      <c r="AK33" s="204" t="str">
        <f aca="false">IF(Model!AI36=0,"",Model!AI36)</f>
        <v/>
      </c>
      <c r="AL33" s="204" t="str">
        <f aca="false">IF(Model!AJ36=0,"",Model!AJ36)</f>
        <v/>
      </c>
      <c r="AM33" s="204" t="str">
        <f aca="false">IF(Model!AK36=0,"",Model!AK36)</f>
        <v/>
      </c>
      <c r="AN33" s="204" t="str">
        <f aca="false">IF(Model!AL36=0,"",Model!AL36)</f>
        <v/>
      </c>
      <c r="AO33" s="204" t="str">
        <f aca="false">IF(Model!AM36=0,"",Model!AM36)</f>
        <v/>
      </c>
      <c r="AP33" s="204" t="str">
        <f aca="false">IF(Model!AN36=0,"",Model!AN36)</f>
        <v/>
      </c>
      <c r="AQ33" s="204" t="str">
        <f aca="false">IF(Model!AO36=0,"",Model!AO36)</f>
        <v/>
      </c>
      <c r="AR33" s="204" t="str">
        <f aca="false">IF(Model!AP36=0,"",Model!AP36)</f>
        <v/>
      </c>
      <c r="AS33" s="204" t="str">
        <f aca="false">IF(Model!AQ36=0,"",Model!AQ36)</f>
        <v/>
      </c>
      <c r="AT33" s="204" t="str">
        <f aca="false">IF(Model!AR36=0,"",Model!AR36)</f>
        <v/>
      </c>
      <c r="AU33" s="204" t="str">
        <f aca="false">IF(Model!AS36=0,"",Model!AS36)</f>
        <v/>
      </c>
      <c r="AV33" s="204" t="str">
        <f aca="false">IF(Model!AT36=0,"",Model!AT36)</f>
        <v/>
      </c>
      <c r="AW33" s="204" t="str">
        <f aca="false">IF(Model!AU36=0,"",Model!AU36)</f>
        <v/>
      </c>
      <c r="AX33" s="204" t="str">
        <f aca="false">IF(Model!AV36=0,"",Model!AV36)</f>
        <v/>
      </c>
      <c r="AY33" s="204" t="str">
        <f aca="false">IF(Model!AW36=0,"",Model!AW36)</f>
        <v/>
      </c>
      <c r="AZ33" s="204" t="str">
        <f aca="false">IF(Model!AX36=0,"",Model!AX36)</f>
        <v/>
      </c>
      <c r="BA33" s="204" t="str">
        <f aca="false">IF(Model!AY36=0,"",Model!AY36)</f>
        <v/>
      </c>
      <c r="BB33" s="204" t="str">
        <f aca="false">IF(Model!AZ36=0,"",Model!AZ36)</f>
        <v/>
      </c>
      <c r="BC33" s="204" t="str">
        <f aca="false">IF(Model!BA36=0,"",Model!BA36)</f>
        <v/>
      </c>
      <c r="BD33" s="204" t="str">
        <f aca="false">IF(Model!BB36=0,"",Model!BB36)</f>
        <v/>
      </c>
      <c r="BE33" s="204" t="str">
        <f aca="false">IF(Model!BC36=0,"",Model!BC36)</f>
        <v/>
      </c>
      <c r="BF33" s="204" t="str">
        <f aca="false">IF(Model!BD36=0,"",Model!BD36)</f>
        <v/>
      </c>
      <c r="BG33" s="204" t="str">
        <f aca="false">IF(Model!BE36=0,"",Model!BE36)</f>
        <v/>
      </c>
      <c r="BH33" s="204" t="str">
        <f aca="false">IF(Model!BF36=0,"",Model!BF36)</f>
        <v/>
      </c>
      <c r="BI33" s="204" t="str">
        <f aca="false">IF(Model!BG36=0,"",Model!BG36)</f>
        <v/>
      </c>
      <c r="BJ33" s="204" t="str">
        <f aca="false">IF(Model!BH36=0,"",Model!BH36)</f>
        <v/>
      </c>
      <c r="BK33" s="204" t="str">
        <f aca="false">IF(Model!BI36=0,"",Model!BI36)</f>
        <v/>
      </c>
      <c r="BL33" s="204" t="str">
        <f aca="false">IF(Model!BJ36=0,"",Model!BJ36)</f>
        <v/>
      </c>
      <c r="BM33" s="204" t="str">
        <f aca="false">IF(Model!BK36=0,"",Model!BK36)</f>
        <v/>
      </c>
      <c r="BN33" s="204" t="str">
        <f aca="false">IF(Model!BL36=0,"",Model!BL36)</f>
        <v/>
      </c>
      <c r="BO33" s="204" t="str">
        <f aca="false">IF(Model!BM36=0,"",Model!BM36)</f>
        <v/>
      </c>
      <c r="BP33" s="204" t="str">
        <f aca="false">IF(Model!BN36=0,"",Model!BN36)</f>
        <v/>
      </c>
      <c r="BQ33" s="204" t="str">
        <f aca="false">IF(Model!BO36=0,"",Model!BO36)</f>
        <v/>
      </c>
      <c r="BR33" s="204" t="str">
        <f aca="false">IF(Model!BP36=0,"",Model!BP36)</f>
        <v/>
      </c>
      <c r="BS33" s="204" t="str">
        <f aca="false">IF(Model!BQ36=0,"",Model!BQ36)</f>
        <v/>
      </c>
      <c r="BT33" s="204" t="str">
        <f aca="false">IF(Model!BR36=0,"",Model!BR36)</f>
        <v/>
      </c>
      <c r="BU33" s="204" t="str">
        <f aca="false">IF(Model!BS36=0,"",Model!BS36)</f>
        <v/>
      </c>
      <c r="BV33" s="204" t="str">
        <f aca="false">IF(Model!BT36=0,"",Model!BT36)</f>
        <v/>
      </c>
      <c r="BW33" s="204" t="str">
        <f aca="false">IF(Model!BU36=0,"",Model!BU36)</f>
        <v/>
      </c>
      <c r="BX33" s="204" t="str">
        <f aca="false">IF(Model!BV36=0,"",Model!BV36)</f>
        <v/>
      </c>
      <c r="BY33" s="204" t="str">
        <f aca="false">IF(Model!BW36=0,"",Model!BW36)</f>
        <v/>
      </c>
      <c r="BZ33" s="204" t="str">
        <f aca="false">IF(Model!BX36=0,"",Model!BX36)</f>
        <v/>
      </c>
      <c r="CA33" s="204" t="str">
        <f aca="false">IF(Model!BY36=0,"",Model!BY36)</f>
        <v/>
      </c>
      <c r="CB33" s="204" t="str">
        <f aca="false">IF(Model!BZ36=0,"",Model!BZ36)</f>
        <v/>
      </c>
      <c r="CC33" s="204" t="str">
        <f aca="false">IF(Model!CA36=0,"",Model!CA36)</f>
        <v/>
      </c>
      <c r="CD33" s="204" t="str">
        <f aca="false">IF(Model!CB36=0,"",Model!CB36)</f>
        <v/>
      </c>
      <c r="CE33" s="204" t="str">
        <f aca="false">IF(Model!CC36=0,"",Model!CC36)</f>
        <v/>
      </c>
      <c r="CF33" s="204" t="str">
        <f aca="false">IF(Model!CD36=0,"",Model!CD36)</f>
        <v/>
      </c>
      <c r="CG33" s="204" t="str">
        <f aca="false">IF(Model!CE36=0,"",Model!CE36)</f>
        <v/>
      </c>
      <c r="CH33" s="204" t="str">
        <f aca="false">IF(Model!CF36=0,"",Model!CF36)</f>
        <v/>
      </c>
      <c r="CI33" s="204" t="str">
        <f aca="false">IF(Model!CG36=0,"",Model!CG36)</f>
        <v/>
      </c>
      <c r="CJ33" s="204" t="str">
        <f aca="false">IF(Model!CH36=0,"",Model!CH36)</f>
        <v/>
      </c>
      <c r="CK33" s="204" t="str">
        <f aca="false">IF(Model!CI36=0,"",Model!CI36)</f>
        <v/>
      </c>
      <c r="CL33" s="204" t="str">
        <f aca="false">IF(Model!CJ36=0,"",Model!CJ36)</f>
        <v/>
      </c>
      <c r="CM33" s="204" t="str">
        <f aca="false">IF(Model!CK36=0,"",Model!CK36)</f>
        <v/>
      </c>
      <c r="CN33" s="204" t="str">
        <f aca="false">IF(Model!CL36=0,"",Model!CL36)</f>
        <v/>
      </c>
      <c r="CO33" s="204" t="str">
        <f aca="false">IF(Model!CM36=0,"",Model!CM36)</f>
        <v/>
      </c>
      <c r="CP33" s="204" t="str">
        <f aca="false">IF(Model!CN36=0,"",Model!CN36)</f>
        <v/>
      </c>
      <c r="CQ33" s="204" t="str">
        <f aca="false">IF(Model!CO36=0,"",Model!CO36)</f>
        <v/>
      </c>
      <c r="CR33" s="204" t="str">
        <f aca="false">IF(Model!CP36=0,"",Model!CP36)</f>
        <v/>
      </c>
      <c r="CS33" s="204" t="str">
        <f aca="false">IF(Model!CQ36=0,"",Model!CQ36)</f>
        <v/>
      </c>
      <c r="CT33" s="204" t="str">
        <f aca="false">IF(Model!CR36=0,"",Model!CR36)</f>
        <v/>
      </c>
      <c r="CU33" s="204" t="str">
        <f aca="false">IF(Model!CS36=0,"",Model!CS36)</f>
        <v/>
      </c>
      <c r="CV33" s="204" t="str">
        <f aca="false">IF(Model!CT36=0,"",Model!CT36)</f>
        <v/>
      </c>
      <c r="CW33" s="204" t="str">
        <f aca="false">IF(Model!CU36=0,"",Model!CU36)</f>
        <v/>
      </c>
      <c r="CX33" s="204" t="str">
        <f aca="false">IF(Model!CV36=0,"",Model!CV36)</f>
        <v/>
      </c>
      <c r="CY33" s="204" t="str">
        <f aca="false">IF(Model!CW36=0,"",Model!CW36)</f>
        <v/>
      </c>
      <c r="CZ33" s="204" t="str">
        <f aca="false">IF(Model!CX36=0,"",Model!CX36)</f>
        <v/>
      </c>
      <c r="DA33" s="204" t="str">
        <f aca="false">IF(Model!CY36=0,"",Model!CY36)</f>
        <v/>
      </c>
      <c r="DB33" s="204" t="str">
        <f aca="false">IF(Model!CZ36=0,"",Model!CZ36)</f>
        <v/>
      </c>
    </row>
    <row r="34" customFormat="false" ht="15" hidden="false" customHeight="true" outlineLevel="0" collapsed="false">
      <c r="A34" s="123" t="s">
        <v>31</v>
      </c>
      <c r="B34" s="201" t="n">
        <f aca="false">Projects!$B$28</f>
        <v>15000000</v>
      </c>
      <c r="C34" s="202" t="n">
        <f aca="false">EDATE(Model!$E$2,Projects!$C$28-1)</f>
        <v>47484</v>
      </c>
      <c r="D34" s="202" t="n">
        <f aca="false">EDATE(Model!$E$2,Projects!$C$28+Projects!$D$28-2)</f>
        <v>48030</v>
      </c>
      <c r="E34" s="203" t="n">
        <f aca="false">Projects!$D$28</f>
        <v>19</v>
      </c>
      <c r="F34" s="201" t="n">
        <f aca="false">SUM(G34:DB34)</f>
        <v>0</v>
      </c>
      <c r="G34" s="204" t="str">
        <f aca="false">IF(Model!E37=0,"",Model!E37)</f>
        <v/>
      </c>
      <c r="H34" s="204" t="str">
        <f aca="false">IF(Model!F37=0,"",Model!F37)</f>
        <v/>
      </c>
      <c r="I34" s="204" t="str">
        <f aca="false">IF(Model!G37=0,"",Model!G37)</f>
        <v/>
      </c>
      <c r="J34" s="204" t="str">
        <f aca="false">IF(Model!H37=0,"",Model!H37)</f>
        <v/>
      </c>
      <c r="K34" s="204" t="str">
        <f aca="false">IF(Model!I37=0,"",Model!I37)</f>
        <v/>
      </c>
      <c r="L34" s="204" t="str">
        <f aca="false">IF(Model!J37=0,"",Model!J37)</f>
        <v/>
      </c>
      <c r="M34" s="204" t="str">
        <f aca="false">IF(Model!K37=0,"",Model!K37)</f>
        <v/>
      </c>
      <c r="N34" s="204" t="str">
        <f aca="false">IF(Model!L37=0,"",Model!L37)</f>
        <v/>
      </c>
      <c r="O34" s="204" t="str">
        <f aca="false">IF(Model!M37=0,"",Model!M37)</f>
        <v/>
      </c>
      <c r="P34" s="204" t="str">
        <f aca="false">IF(Model!N37=0,"",Model!N37)</f>
        <v/>
      </c>
      <c r="Q34" s="204" t="str">
        <f aca="false">IF(Model!O37=0,"",Model!O37)</f>
        <v/>
      </c>
      <c r="R34" s="204" t="str">
        <f aca="false">IF(Model!P37=0,"",Model!P37)</f>
        <v/>
      </c>
      <c r="S34" s="204" t="str">
        <f aca="false">IF(Model!Q37=0,"",Model!Q37)</f>
        <v/>
      </c>
      <c r="T34" s="204" t="str">
        <f aca="false">IF(Model!R37=0,"",Model!R37)</f>
        <v/>
      </c>
      <c r="U34" s="204" t="str">
        <f aca="false">IF(Model!S37=0,"",Model!S37)</f>
        <v/>
      </c>
      <c r="V34" s="204" t="str">
        <f aca="false">IF(Model!T37=0,"",Model!T37)</f>
        <v/>
      </c>
      <c r="W34" s="204" t="str">
        <f aca="false">IF(Model!U37=0,"",Model!U37)</f>
        <v/>
      </c>
      <c r="X34" s="204" t="str">
        <f aca="false">IF(Model!V37=0,"",Model!V37)</f>
        <v/>
      </c>
      <c r="Y34" s="204" t="str">
        <f aca="false">IF(Model!W37=0,"",Model!W37)</f>
        <v/>
      </c>
      <c r="Z34" s="204" t="str">
        <f aca="false">IF(Model!X37=0,"",Model!X37)</f>
        <v/>
      </c>
      <c r="AA34" s="204" t="str">
        <f aca="false">IF(Model!Y37=0,"",Model!Y37)</f>
        <v/>
      </c>
      <c r="AB34" s="204" t="str">
        <f aca="false">IF(Model!Z37=0,"",Model!Z37)</f>
        <v/>
      </c>
      <c r="AC34" s="204" t="str">
        <f aca="false">IF(Model!AA37=0,"",Model!AA37)</f>
        <v/>
      </c>
      <c r="AD34" s="204" t="str">
        <f aca="false">IF(Model!AB37=0,"",Model!AB37)</f>
        <v/>
      </c>
      <c r="AE34" s="204" t="str">
        <f aca="false">IF(Model!AC37=0,"",Model!AC37)</f>
        <v/>
      </c>
      <c r="AF34" s="204" t="str">
        <f aca="false">IF(Model!AD37=0,"",Model!AD37)</f>
        <v/>
      </c>
      <c r="AG34" s="204" t="str">
        <f aca="false">IF(Model!AE37=0,"",Model!AE37)</f>
        <v/>
      </c>
      <c r="AH34" s="204" t="str">
        <f aca="false">IF(Model!AF37=0,"",Model!AF37)</f>
        <v/>
      </c>
      <c r="AI34" s="204" t="str">
        <f aca="false">IF(Model!AG37=0,"",Model!AG37)</f>
        <v/>
      </c>
      <c r="AJ34" s="204" t="str">
        <f aca="false">IF(Model!AH37=0,"",Model!AH37)</f>
        <v/>
      </c>
      <c r="AK34" s="204" t="str">
        <f aca="false">IF(Model!AI37=0,"",Model!AI37)</f>
        <v/>
      </c>
      <c r="AL34" s="204" t="str">
        <f aca="false">IF(Model!AJ37=0,"",Model!AJ37)</f>
        <v/>
      </c>
      <c r="AM34" s="204" t="str">
        <f aca="false">IF(Model!AK37=0,"",Model!AK37)</f>
        <v/>
      </c>
      <c r="AN34" s="204" t="str">
        <f aca="false">IF(Model!AL37=0,"",Model!AL37)</f>
        <v/>
      </c>
      <c r="AO34" s="204" t="str">
        <f aca="false">IF(Model!AM37=0,"",Model!AM37)</f>
        <v/>
      </c>
      <c r="AP34" s="204" t="str">
        <f aca="false">IF(Model!AN37=0,"",Model!AN37)</f>
        <v/>
      </c>
      <c r="AQ34" s="204" t="str">
        <f aca="false">IF(Model!AO37=0,"",Model!AO37)</f>
        <v/>
      </c>
      <c r="AR34" s="204" t="str">
        <f aca="false">IF(Model!AP37=0,"",Model!AP37)</f>
        <v/>
      </c>
      <c r="AS34" s="204" t="str">
        <f aca="false">IF(Model!AQ37=0,"",Model!AQ37)</f>
        <v/>
      </c>
      <c r="AT34" s="204" t="str">
        <f aca="false">IF(Model!AR37=0,"",Model!AR37)</f>
        <v/>
      </c>
      <c r="AU34" s="204" t="str">
        <f aca="false">IF(Model!AS37=0,"",Model!AS37)</f>
        <v/>
      </c>
      <c r="AV34" s="204" t="str">
        <f aca="false">IF(Model!AT37=0,"",Model!AT37)</f>
        <v/>
      </c>
      <c r="AW34" s="204" t="str">
        <f aca="false">IF(Model!AU37=0,"",Model!AU37)</f>
        <v/>
      </c>
      <c r="AX34" s="204" t="str">
        <f aca="false">IF(Model!AV37=0,"",Model!AV37)</f>
        <v/>
      </c>
      <c r="AY34" s="204" t="str">
        <f aca="false">IF(Model!AW37=0,"",Model!AW37)</f>
        <v/>
      </c>
      <c r="AZ34" s="204" t="str">
        <f aca="false">IF(Model!AX37=0,"",Model!AX37)</f>
        <v/>
      </c>
      <c r="BA34" s="204" t="str">
        <f aca="false">IF(Model!AY37=0,"",Model!AY37)</f>
        <v/>
      </c>
      <c r="BB34" s="204" t="str">
        <f aca="false">IF(Model!AZ37=0,"",Model!AZ37)</f>
        <v/>
      </c>
      <c r="BC34" s="204" t="str">
        <f aca="false">IF(Model!BA37=0,"",Model!BA37)</f>
        <v/>
      </c>
      <c r="BD34" s="204" t="str">
        <f aca="false">IF(Model!BB37=0,"",Model!BB37)</f>
        <v/>
      </c>
      <c r="BE34" s="204" t="str">
        <f aca="false">IF(Model!BC37=0,"",Model!BC37)</f>
        <v/>
      </c>
      <c r="BF34" s="204" t="str">
        <f aca="false">IF(Model!BD37=0,"",Model!BD37)</f>
        <v/>
      </c>
      <c r="BG34" s="204" t="str">
        <f aca="false">IF(Model!BE37=0,"",Model!BE37)</f>
        <v/>
      </c>
      <c r="BH34" s="204" t="str">
        <f aca="false">IF(Model!BF37=0,"",Model!BF37)</f>
        <v/>
      </c>
      <c r="BI34" s="204" t="str">
        <f aca="false">IF(Model!BG37=0,"",Model!BG37)</f>
        <v/>
      </c>
      <c r="BJ34" s="204" t="str">
        <f aca="false">IF(Model!BH37=0,"",Model!BH37)</f>
        <v/>
      </c>
      <c r="BK34" s="204" t="str">
        <f aca="false">IF(Model!BI37=0,"",Model!BI37)</f>
        <v/>
      </c>
      <c r="BL34" s="204" t="str">
        <f aca="false">IF(Model!BJ37=0,"",Model!BJ37)</f>
        <v/>
      </c>
      <c r="BM34" s="204" t="str">
        <f aca="false">IF(Model!BK37=0,"",Model!BK37)</f>
        <v/>
      </c>
      <c r="BN34" s="204" t="str">
        <f aca="false">IF(Model!BL37=0,"",Model!BL37)</f>
        <v/>
      </c>
      <c r="BO34" s="204" t="str">
        <f aca="false">IF(Model!BM37=0,"",Model!BM37)</f>
        <v/>
      </c>
      <c r="BP34" s="204" t="str">
        <f aca="false">IF(Model!BN37=0,"",Model!BN37)</f>
        <v/>
      </c>
      <c r="BQ34" s="204" t="str">
        <f aca="false">IF(Model!BO37=0,"",Model!BO37)</f>
        <v/>
      </c>
      <c r="BR34" s="204" t="str">
        <f aca="false">IF(Model!BP37=0,"",Model!BP37)</f>
        <v/>
      </c>
      <c r="BS34" s="204" t="str">
        <f aca="false">IF(Model!BQ37=0,"",Model!BQ37)</f>
        <v/>
      </c>
      <c r="BT34" s="204" t="str">
        <f aca="false">IF(Model!BR37=0,"",Model!BR37)</f>
        <v/>
      </c>
      <c r="BU34" s="204" t="str">
        <f aca="false">IF(Model!BS37=0,"",Model!BS37)</f>
        <v/>
      </c>
      <c r="BV34" s="204" t="str">
        <f aca="false">IF(Model!BT37=0,"",Model!BT37)</f>
        <v/>
      </c>
      <c r="BW34" s="204" t="str">
        <f aca="false">IF(Model!BU37=0,"",Model!BU37)</f>
        <v/>
      </c>
      <c r="BX34" s="204" t="str">
        <f aca="false">IF(Model!BV37=0,"",Model!BV37)</f>
        <v/>
      </c>
      <c r="BY34" s="204" t="str">
        <f aca="false">IF(Model!BW37=0,"",Model!BW37)</f>
        <v/>
      </c>
      <c r="BZ34" s="204" t="str">
        <f aca="false">IF(Model!BX37=0,"",Model!BX37)</f>
        <v/>
      </c>
      <c r="CA34" s="204" t="str">
        <f aca="false">IF(Model!BY37=0,"",Model!BY37)</f>
        <v/>
      </c>
      <c r="CB34" s="204" t="str">
        <f aca="false">IF(Model!BZ37=0,"",Model!BZ37)</f>
        <v/>
      </c>
      <c r="CC34" s="204" t="str">
        <f aca="false">IF(Model!CA37=0,"",Model!CA37)</f>
        <v/>
      </c>
      <c r="CD34" s="204" t="str">
        <f aca="false">IF(Model!CB37=0,"",Model!CB37)</f>
        <v/>
      </c>
      <c r="CE34" s="204" t="str">
        <f aca="false">IF(Model!CC37=0,"",Model!CC37)</f>
        <v/>
      </c>
      <c r="CF34" s="204" t="str">
        <f aca="false">IF(Model!CD37=0,"",Model!CD37)</f>
        <v/>
      </c>
      <c r="CG34" s="204" t="str">
        <f aca="false">IF(Model!CE37=0,"",Model!CE37)</f>
        <v/>
      </c>
      <c r="CH34" s="204" t="str">
        <f aca="false">IF(Model!CF37=0,"",Model!CF37)</f>
        <v/>
      </c>
      <c r="CI34" s="204" t="str">
        <f aca="false">IF(Model!CG37=0,"",Model!CG37)</f>
        <v/>
      </c>
      <c r="CJ34" s="204" t="str">
        <f aca="false">IF(Model!CH37=0,"",Model!CH37)</f>
        <v/>
      </c>
      <c r="CK34" s="204" t="str">
        <f aca="false">IF(Model!CI37=0,"",Model!CI37)</f>
        <v/>
      </c>
      <c r="CL34" s="204" t="str">
        <f aca="false">IF(Model!CJ37=0,"",Model!CJ37)</f>
        <v/>
      </c>
      <c r="CM34" s="204" t="str">
        <f aca="false">IF(Model!CK37=0,"",Model!CK37)</f>
        <v/>
      </c>
      <c r="CN34" s="204" t="str">
        <f aca="false">IF(Model!CL37=0,"",Model!CL37)</f>
        <v/>
      </c>
      <c r="CO34" s="204" t="str">
        <f aca="false">IF(Model!CM37=0,"",Model!CM37)</f>
        <v/>
      </c>
      <c r="CP34" s="204" t="str">
        <f aca="false">IF(Model!CN37=0,"",Model!CN37)</f>
        <v/>
      </c>
      <c r="CQ34" s="204" t="str">
        <f aca="false">IF(Model!CO37=0,"",Model!CO37)</f>
        <v/>
      </c>
      <c r="CR34" s="204" t="str">
        <f aca="false">IF(Model!CP37=0,"",Model!CP37)</f>
        <v/>
      </c>
      <c r="CS34" s="204" t="str">
        <f aca="false">IF(Model!CQ37=0,"",Model!CQ37)</f>
        <v/>
      </c>
      <c r="CT34" s="204" t="str">
        <f aca="false">IF(Model!CR37=0,"",Model!CR37)</f>
        <v/>
      </c>
      <c r="CU34" s="204" t="str">
        <f aca="false">IF(Model!CS37=0,"",Model!CS37)</f>
        <v/>
      </c>
      <c r="CV34" s="204" t="str">
        <f aca="false">IF(Model!CT37=0,"",Model!CT37)</f>
        <v/>
      </c>
      <c r="CW34" s="204" t="str">
        <f aca="false">IF(Model!CU37=0,"",Model!CU37)</f>
        <v/>
      </c>
      <c r="CX34" s="204" t="str">
        <f aca="false">IF(Model!CV37=0,"",Model!CV37)</f>
        <v/>
      </c>
      <c r="CY34" s="204" t="str">
        <f aca="false">IF(Model!CW37=0,"",Model!CW37)</f>
        <v/>
      </c>
      <c r="CZ34" s="204" t="str">
        <f aca="false">IF(Model!CX37=0,"",Model!CX37)</f>
        <v/>
      </c>
      <c r="DA34" s="204" t="str">
        <f aca="false">IF(Model!CY37=0,"",Model!CY37)</f>
        <v/>
      </c>
      <c r="DB34" s="204" t="str">
        <f aca="false">IF(Model!CZ37=0,"",Model!CZ37)</f>
        <v/>
      </c>
    </row>
    <row r="35" customFormat="false" ht="15" hidden="false" customHeight="true" outlineLevel="0" collapsed="false">
      <c r="A35" s="123" t="s">
        <v>32</v>
      </c>
      <c r="B35" s="201" t="n">
        <f aca="false">Projects!$B$29</f>
        <v>15000000</v>
      </c>
      <c r="C35" s="202" t="n">
        <f aca="false">EDATE(Model!$E$2,Projects!$C$29-1)</f>
        <v>47543</v>
      </c>
      <c r="D35" s="202" t="n">
        <f aca="false">EDATE(Model!$E$2,Projects!$C$29+Projects!$D$29-2)</f>
        <v>48092</v>
      </c>
      <c r="E35" s="203" t="n">
        <f aca="false">Projects!$D$29</f>
        <v>19</v>
      </c>
      <c r="F35" s="201" t="n">
        <f aca="false">SUM(G35:DB35)</f>
        <v>0</v>
      </c>
      <c r="G35" s="204" t="str">
        <f aca="false">IF(Model!E38=0,"",Model!E38)</f>
        <v/>
      </c>
      <c r="H35" s="204" t="str">
        <f aca="false">IF(Model!F38=0,"",Model!F38)</f>
        <v/>
      </c>
      <c r="I35" s="204" t="str">
        <f aca="false">IF(Model!G38=0,"",Model!G38)</f>
        <v/>
      </c>
      <c r="J35" s="204" t="str">
        <f aca="false">IF(Model!H38=0,"",Model!H38)</f>
        <v/>
      </c>
      <c r="K35" s="204" t="str">
        <f aca="false">IF(Model!I38=0,"",Model!I38)</f>
        <v/>
      </c>
      <c r="L35" s="204" t="str">
        <f aca="false">IF(Model!J38=0,"",Model!J38)</f>
        <v/>
      </c>
      <c r="M35" s="204" t="str">
        <f aca="false">IF(Model!K38=0,"",Model!K38)</f>
        <v/>
      </c>
      <c r="N35" s="204" t="str">
        <f aca="false">IF(Model!L38=0,"",Model!L38)</f>
        <v/>
      </c>
      <c r="O35" s="204" t="str">
        <f aca="false">IF(Model!M38=0,"",Model!M38)</f>
        <v/>
      </c>
      <c r="P35" s="204" t="str">
        <f aca="false">IF(Model!N38=0,"",Model!N38)</f>
        <v/>
      </c>
      <c r="Q35" s="204" t="str">
        <f aca="false">IF(Model!O38=0,"",Model!O38)</f>
        <v/>
      </c>
      <c r="R35" s="204" t="str">
        <f aca="false">IF(Model!P38=0,"",Model!P38)</f>
        <v/>
      </c>
      <c r="S35" s="204" t="str">
        <f aca="false">IF(Model!Q38=0,"",Model!Q38)</f>
        <v/>
      </c>
      <c r="T35" s="204" t="str">
        <f aca="false">IF(Model!R38=0,"",Model!R38)</f>
        <v/>
      </c>
      <c r="U35" s="204" t="str">
        <f aca="false">IF(Model!S38=0,"",Model!S38)</f>
        <v/>
      </c>
      <c r="V35" s="204" t="str">
        <f aca="false">IF(Model!T38=0,"",Model!T38)</f>
        <v/>
      </c>
      <c r="W35" s="204" t="str">
        <f aca="false">IF(Model!U38=0,"",Model!U38)</f>
        <v/>
      </c>
      <c r="X35" s="204" t="str">
        <f aca="false">IF(Model!V38=0,"",Model!V38)</f>
        <v/>
      </c>
      <c r="Y35" s="204" t="str">
        <f aca="false">IF(Model!W38=0,"",Model!W38)</f>
        <v/>
      </c>
      <c r="Z35" s="204" t="str">
        <f aca="false">IF(Model!X38=0,"",Model!X38)</f>
        <v/>
      </c>
      <c r="AA35" s="204" t="str">
        <f aca="false">IF(Model!Y38=0,"",Model!Y38)</f>
        <v/>
      </c>
      <c r="AB35" s="204" t="str">
        <f aca="false">IF(Model!Z38=0,"",Model!Z38)</f>
        <v/>
      </c>
      <c r="AC35" s="204" t="str">
        <f aca="false">IF(Model!AA38=0,"",Model!AA38)</f>
        <v/>
      </c>
      <c r="AD35" s="204" t="str">
        <f aca="false">IF(Model!AB38=0,"",Model!AB38)</f>
        <v/>
      </c>
      <c r="AE35" s="204" t="str">
        <f aca="false">IF(Model!AC38=0,"",Model!AC38)</f>
        <v/>
      </c>
      <c r="AF35" s="204" t="str">
        <f aca="false">IF(Model!AD38=0,"",Model!AD38)</f>
        <v/>
      </c>
      <c r="AG35" s="204" t="str">
        <f aca="false">IF(Model!AE38=0,"",Model!AE38)</f>
        <v/>
      </c>
      <c r="AH35" s="204" t="str">
        <f aca="false">IF(Model!AF38=0,"",Model!AF38)</f>
        <v/>
      </c>
      <c r="AI35" s="204" t="str">
        <f aca="false">IF(Model!AG38=0,"",Model!AG38)</f>
        <v/>
      </c>
      <c r="AJ35" s="204" t="str">
        <f aca="false">IF(Model!AH38=0,"",Model!AH38)</f>
        <v/>
      </c>
      <c r="AK35" s="204" t="str">
        <f aca="false">IF(Model!AI38=0,"",Model!AI38)</f>
        <v/>
      </c>
      <c r="AL35" s="204" t="str">
        <f aca="false">IF(Model!AJ38=0,"",Model!AJ38)</f>
        <v/>
      </c>
      <c r="AM35" s="204" t="str">
        <f aca="false">IF(Model!AK38=0,"",Model!AK38)</f>
        <v/>
      </c>
      <c r="AN35" s="204" t="str">
        <f aca="false">IF(Model!AL38=0,"",Model!AL38)</f>
        <v/>
      </c>
      <c r="AO35" s="204" t="str">
        <f aca="false">IF(Model!AM38=0,"",Model!AM38)</f>
        <v/>
      </c>
      <c r="AP35" s="204" t="str">
        <f aca="false">IF(Model!AN38=0,"",Model!AN38)</f>
        <v/>
      </c>
      <c r="AQ35" s="204" t="str">
        <f aca="false">IF(Model!AO38=0,"",Model!AO38)</f>
        <v/>
      </c>
      <c r="AR35" s="204" t="str">
        <f aca="false">IF(Model!AP38=0,"",Model!AP38)</f>
        <v/>
      </c>
      <c r="AS35" s="204" t="str">
        <f aca="false">IF(Model!AQ38=0,"",Model!AQ38)</f>
        <v/>
      </c>
      <c r="AT35" s="204" t="str">
        <f aca="false">IF(Model!AR38=0,"",Model!AR38)</f>
        <v/>
      </c>
      <c r="AU35" s="204" t="str">
        <f aca="false">IF(Model!AS38=0,"",Model!AS38)</f>
        <v/>
      </c>
      <c r="AV35" s="204" t="str">
        <f aca="false">IF(Model!AT38=0,"",Model!AT38)</f>
        <v/>
      </c>
      <c r="AW35" s="204" t="str">
        <f aca="false">IF(Model!AU38=0,"",Model!AU38)</f>
        <v/>
      </c>
      <c r="AX35" s="204" t="str">
        <f aca="false">IF(Model!AV38=0,"",Model!AV38)</f>
        <v/>
      </c>
      <c r="AY35" s="204" t="str">
        <f aca="false">IF(Model!AW38=0,"",Model!AW38)</f>
        <v/>
      </c>
      <c r="AZ35" s="204" t="str">
        <f aca="false">IF(Model!AX38=0,"",Model!AX38)</f>
        <v/>
      </c>
      <c r="BA35" s="204" t="str">
        <f aca="false">IF(Model!AY38=0,"",Model!AY38)</f>
        <v/>
      </c>
      <c r="BB35" s="204" t="str">
        <f aca="false">IF(Model!AZ38=0,"",Model!AZ38)</f>
        <v/>
      </c>
      <c r="BC35" s="204" t="str">
        <f aca="false">IF(Model!BA38=0,"",Model!BA38)</f>
        <v/>
      </c>
      <c r="BD35" s="204" t="str">
        <f aca="false">IF(Model!BB38=0,"",Model!BB38)</f>
        <v/>
      </c>
      <c r="BE35" s="204" t="str">
        <f aca="false">IF(Model!BC38=0,"",Model!BC38)</f>
        <v/>
      </c>
      <c r="BF35" s="204" t="str">
        <f aca="false">IF(Model!BD38=0,"",Model!BD38)</f>
        <v/>
      </c>
      <c r="BG35" s="204" t="str">
        <f aca="false">IF(Model!BE38=0,"",Model!BE38)</f>
        <v/>
      </c>
      <c r="BH35" s="204" t="str">
        <f aca="false">IF(Model!BF38=0,"",Model!BF38)</f>
        <v/>
      </c>
      <c r="BI35" s="204" t="str">
        <f aca="false">IF(Model!BG38=0,"",Model!BG38)</f>
        <v/>
      </c>
      <c r="BJ35" s="204" t="str">
        <f aca="false">IF(Model!BH38=0,"",Model!BH38)</f>
        <v/>
      </c>
      <c r="BK35" s="204" t="str">
        <f aca="false">IF(Model!BI38=0,"",Model!BI38)</f>
        <v/>
      </c>
      <c r="BL35" s="204" t="str">
        <f aca="false">IF(Model!BJ38=0,"",Model!BJ38)</f>
        <v/>
      </c>
      <c r="BM35" s="204" t="str">
        <f aca="false">IF(Model!BK38=0,"",Model!BK38)</f>
        <v/>
      </c>
      <c r="BN35" s="204" t="str">
        <f aca="false">IF(Model!BL38=0,"",Model!BL38)</f>
        <v/>
      </c>
      <c r="BO35" s="204" t="str">
        <f aca="false">IF(Model!BM38=0,"",Model!BM38)</f>
        <v/>
      </c>
      <c r="BP35" s="204" t="str">
        <f aca="false">IF(Model!BN38=0,"",Model!BN38)</f>
        <v/>
      </c>
      <c r="BQ35" s="204" t="str">
        <f aca="false">IF(Model!BO38=0,"",Model!BO38)</f>
        <v/>
      </c>
      <c r="BR35" s="204" t="str">
        <f aca="false">IF(Model!BP38=0,"",Model!BP38)</f>
        <v/>
      </c>
      <c r="BS35" s="204" t="str">
        <f aca="false">IF(Model!BQ38=0,"",Model!BQ38)</f>
        <v/>
      </c>
      <c r="BT35" s="204" t="str">
        <f aca="false">IF(Model!BR38=0,"",Model!BR38)</f>
        <v/>
      </c>
      <c r="BU35" s="204" t="str">
        <f aca="false">IF(Model!BS38=0,"",Model!BS38)</f>
        <v/>
      </c>
      <c r="BV35" s="204" t="str">
        <f aca="false">IF(Model!BT38=0,"",Model!BT38)</f>
        <v/>
      </c>
      <c r="BW35" s="204" t="str">
        <f aca="false">IF(Model!BU38=0,"",Model!BU38)</f>
        <v/>
      </c>
      <c r="BX35" s="204" t="str">
        <f aca="false">IF(Model!BV38=0,"",Model!BV38)</f>
        <v/>
      </c>
      <c r="BY35" s="204" t="str">
        <f aca="false">IF(Model!BW38=0,"",Model!BW38)</f>
        <v/>
      </c>
      <c r="BZ35" s="204" t="str">
        <f aca="false">IF(Model!BX38=0,"",Model!BX38)</f>
        <v/>
      </c>
      <c r="CA35" s="204" t="str">
        <f aca="false">IF(Model!BY38=0,"",Model!BY38)</f>
        <v/>
      </c>
      <c r="CB35" s="204" t="str">
        <f aca="false">IF(Model!BZ38=0,"",Model!BZ38)</f>
        <v/>
      </c>
      <c r="CC35" s="204" t="str">
        <f aca="false">IF(Model!CA38=0,"",Model!CA38)</f>
        <v/>
      </c>
      <c r="CD35" s="204" t="str">
        <f aca="false">IF(Model!CB38=0,"",Model!CB38)</f>
        <v/>
      </c>
      <c r="CE35" s="204" t="str">
        <f aca="false">IF(Model!CC38=0,"",Model!CC38)</f>
        <v/>
      </c>
      <c r="CF35" s="204" t="str">
        <f aca="false">IF(Model!CD38=0,"",Model!CD38)</f>
        <v/>
      </c>
      <c r="CG35" s="204" t="str">
        <f aca="false">IF(Model!CE38=0,"",Model!CE38)</f>
        <v/>
      </c>
      <c r="CH35" s="204" t="str">
        <f aca="false">IF(Model!CF38=0,"",Model!CF38)</f>
        <v/>
      </c>
      <c r="CI35" s="204" t="str">
        <f aca="false">IF(Model!CG38=0,"",Model!CG38)</f>
        <v/>
      </c>
      <c r="CJ35" s="204" t="str">
        <f aca="false">IF(Model!CH38=0,"",Model!CH38)</f>
        <v/>
      </c>
      <c r="CK35" s="204" t="str">
        <f aca="false">IF(Model!CI38=0,"",Model!CI38)</f>
        <v/>
      </c>
      <c r="CL35" s="204" t="str">
        <f aca="false">IF(Model!CJ38=0,"",Model!CJ38)</f>
        <v/>
      </c>
      <c r="CM35" s="204" t="str">
        <f aca="false">IF(Model!CK38=0,"",Model!CK38)</f>
        <v/>
      </c>
      <c r="CN35" s="204" t="str">
        <f aca="false">IF(Model!CL38=0,"",Model!CL38)</f>
        <v/>
      </c>
      <c r="CO35" s="204" t="str">
        <f aca="false">IF(Model!CM38=0,"",Model!CM38)</f>
        <v/>
      </c>
      <c r="CP35" s="204" t="str">
        <f aca="false">IF(Model!CN38=0,"",Model!CN38)</f>
        <v/>
      </c>
      <c r="CQ35" s="204" t="str">
        <f aca="false">IF(Model!CO38=0,"",Model!CO38)</f>
        <v/>
      </c>
      <c r="CR35" s="204" t="str">
        <f aca="false">IF(Model!CP38=0,"",Model!CP38)</f>
        <v/>
      </c>
      <c r="CS35" s="204" t="str">
        <f aca="false">IF(Model!CQ38=0,"",Model!CQ38)</f>
        <v/>
      </c>
      <c r="CT35" s="204" t="str">
        <f aca="false">IF(Model!CR38=0,"",Model!CR38)</f>
        <v/>
      </c>
      <c r="CU35" s="204" t="str">
        <f aca="false">IF(Model!CS38=0,"",Model!CS38)</f>
        <v/>
      </c>
      <c r="CV35" s="204" t="str">
        <f aca="false">IF(Model!CT38=0,"",Model!CT38)</f>
        <v/>
      </c>
      <c r="CW35" s="204" t="str">
        <f aca="false">IF(Model!CU38=0,"",Model!CU38)</f>
        <v/>
      </c>
      <c r="CX35" s="204" t="str">
        <f aca="false">IF(Model!CV38=0,"",Model!CV38)</f>
        <v/>
      </c>
      <c r="CY35" s="204" t="str">
        <f aca="false">IF(Model!CW38=0,"",Model!CW38)</f>
        <v/>
      </c>
      <c r="CZ35" s="204" t="str">
        <f aca="false">IF(Model!CX38=0,"",Model!CX38)</f>
        <v/>
      </c>
      <c r="DA35" s="204" t="str">
        <f aca="false">IF(Model!CY38=0,"",Model!CY38)</f>
        <v/>
      </c>
      <c r="DB35" s="204" t="str">
        <f aca="false">IF(Model!CZ38=0,"",Model!CZ38)</f>
        <v/>
      </c>
    </row>
    <row r="36" customFormat="false" ht="15" hidden="false" customHeight="true" outlineLevel="0" collapsed="false">
      <c r="A36" s="123" t="s">
        <v>33</v>
      </c>
      <c r="B36" s="201" t="n">
        <f aca="false">Projects!$B$30</f>
        <v>15000000</v>
      </c>
      <c r="C36" s="202" t="n">
        <f aca="false">EDATE(Model!$E$2,Projects!$C$30-1)</f>
        <v>47604</v>
      </c>
      <c r="D36" s="202" t="n">
        <f aca="false">EDATE(Model!$E$2,Projects!$C$30+Projects!$D$30-2)</f>
        <v>48153</v>
      </c>
      <c r="E36" s="203" t="n">
        <f aca="false">Projects!$D$30</f>
        <v>19</v>
      </c>
      <c r="F36" s="201" t="n">
        <f aca="false">SUM(G36:DB36)</f>
        <v>0</v>
      </c>
      <c r="G36" s="204" t="str">
        <f aca="false">IF(Model!E39=0,"",Model!E39)</f>
        <v/>
      </c>
      <c r="H36" s="204" t="str">
        <f aca="false">IF(Model!F39=0,"",Model!F39)</f>
        <v/>
      </c>
      <c r="I36" s="204" t="str">
        <f aca="false">IF(Model!G39=0,"",Model!G39)</f>
        <v/>
      </c>
      <c r="J36" s="204" t="str">
        <f aca="false">IF(Model!H39=0,"",Model!H39)</f>
        <v/>
      </c>
      <c r="K36" s="204" t="str">
        <f aca="false">IF(Model!I39=0,"",Model!I39)</f>
        <v/>
      </c>
      <c r="L36" s="204" t="str">
        <f aca="false">IF(Model!J39=0,"",Model!J39)</f>
        <v/>
      </c>
      <c r="M36" s="204" t="str">
        <f aca="false">IF(Model!K39=0,"",Model!K39)</f>
        <v/>
      </c>
      <c r="N36" s="204" t="str">
        <f aca="false">IF(Model!L39=0,"",Model!L39)</f>
        <v/>
      </c>
      <c r="O36" s="204" t="str">
        <f aca="false">IF(Model!M39=0,"",Model!M39)</f>
        <v/>
      </c>
      <c r="P36" s="204" t="str">
        <f aca="false">IF(Model!N39=0,"",Model!N39)</f>
        <v/>
      </c>
      <c r="Q36" s="204" t="str">
        <f aca="false">IF(Model!O39=0,"",Model!O39)</f>
        <v/>
      </c>
      <c r="R36" s="204" t="str">
        <f aca="false">IF(Model!P39=0,"",Model!P39)</f>
        <v/>
      </c>
      <c r="S36" s="204" t="str">
        <f aca="false">IF(Model!Q39=0,"",Model!Q39)</f>
        <v/>
      </c>
      <c r="T36" s="204" t="str">
        <f aca="false">IF(Model!R39=0,"",Model!R39)</f>
        <v/>
      </c>
      <c r="U36" s="204" t="str">
        <f aca="false">IF(Model!S39=0,"",Model!S39)</f>
        <v/>
      </c>
      <c r="V36" s="204" t="str">
        <f aca="false">IF(Model!T39=0,"",Model!T39)</f>
        <v/>
      </c>
      <c r="W36" s="204" t="str">
        <f aca="false">IF(Model!U39=0,"",Model!U39)</f>
        <v/>
      </c>
      <c r="X36" s="204" t="str">
        <f aca="false">IF(Model!V39=0,"",Model!V39)</f>
        <v/>
      </c>
      <c r="Y36" s="204" t="str">
        <f aca="false">IF(Model!W39=0,"",Model!W39)</f>
        <v/>
      </c>
      <c r="Z36" s="204" t="str">
        <f aca="false">IF(Model!X39=0,"",Model!X39)</f>
        <v/>
      </c>
      <c r="AA36" s="204" t="str">
        <f aca="false">IF(Model!Y39=0,"",Model!Y39)</f>
        <v/>
      </c>
      <c r="AB36" s="204" t="str">
        <f aca="false">IF(Model!Z39=0,"",Model!Z39)</f>
        <v/>
      </c>
      <c r="AC36" s="204" t="str">
        <f aca="false">IF(Model!AA39=0,"",Model!AA39)</f>
        <v/>
      </c>
      <c r="AD36" s="204" t="str">
        <f aca="false">IF(Model!AB39=0,"",Model!AB39)</f>
        <v/>
      </c>
      <c r="AE36" s="204" t="str">
        <f aca="false">IF(Model!AC39=0,"",Model!AC39)</f>
        <v/>
      </c>
      <c r="AF36" s="204" t="str">
        <f aca="false">IF(Model!AD39=0,"",Model!AD39)</f>
        <v/>
      </c>
      <c r="AG36" s="204" t="str">
        <f aca="false">IF(Model!AE39=0,"",Model!AE39)</f>
        <v/>
      </c>
      <c r="AH36" s="204" t="str">
        <f aca="false">IF(Model!AF39=0,"",Model!AF39)</f>
        <v/>
      </c>
      <c r="AI36" s="204" t="str">
        <f aca="false">IF(Model!AG39=0,"",Model!AG39)</f>
        <v/>
      </c>
      <c r="AJ36" s="204" t="str">
        <f aca="false">IF(Model!AH39=0,"",Model!AH39)</f>
        <v/>
      </c>
      <c r="AK36" s="204" t="str">
        <f aca="false">IF(Model!AI39=0,"",Model!AI39)</f>
        <v/>
      </c>
      <c r="AL36" s="204" t="str">
        <f aca="false">IF(Model!AJ39=0,"",Model!AJ39)</f>
        <v/>
      </c>
      <c r="AM36" s="204" t="str">
        <f aca="false">IF(Model!AK39=0,"",Model!AK39)</f>
        <v/>
      </c>
      <c r="AN36" s="204" t="str">
        <f aca="false">IF(Model!AL39=0,"",Model!AL39)</f>
        <v/>
      </c>
      <c r="AO36" s="204" t="str">
        <f aca="false">IF(Model!AM39=0,"",Model!AM39)</f>
        <v/>
      </c>
      <c r="AP36" s="204" t="str">
        <f aca="false">IF(Model!AN39=0,"",Model!AN39)</f>
        <v/>
      </c>
      <c r="AQ36" s="204" t="str">
        <f aca="false">IF(Model!AO39=0,"",Model!AO39)</f>
        <v/>
      </c>
      <c r="AR36" s="204" t="str">
        <f aca="false">IF(Model!AP39=0,"",Model!AP39)</f>
        <v/>
      </c>
      <c r="AS36" s="204" t="str">
        <f aca="false">IF(Model!AQ39=0,"",Model!AQ39)</f>
        <v/>
      </c>
      <c r="AT36" s="204" t="str">
        <f aca="false">IF(Model!AR39=0,"",Model!AR39)</f>
        <v/>
      </c>
      <c r="AU36" s="204" t="str">
        <f aca="false">IF(Model!AS39=0,"",Model!AS39)</f>
        <v/>
      </c>
      <c r="AV36" s="204" t="str">
        <f aca="false">IF(Model!AT39=0,"",Model!AT39)</f>
        <v/>
      </c>
      <c r="AW36" s="204" t="str">
        <f aca="false">IF(Model!AU39=0,"",Model!AU39)</f>
        <v/>
      </c>
      <c r="AX36" s="204" t="str">
        <f aca="false">IF(Model!AV39=0,"",Model!AV39)</f>
        <v/>
      </c>
      <c r="AY36" s="204" t="str">
        <f aca="false">IF(Model!AW39=0,"",Model!AW39)</f>
        <v/>
      </c>
      <c r="AZ36" s="204" t="str">
        <f aca="false">IF(Model!AX39=0,"",Model!AX39)</f>
        <v/>
      </c>
      <c r="BA36" s="204" t="str">
        <f aca="false">IF(Model!AY39=0,"",Model!AY39)</f>
        <v/>
      </c>
      <c r="BB36" s="204" t="str">
        <f aca="false">IF(Model!AZ39=0,"",Model!AZ39)</f>
        <v/>
      </c>
      <c r="BC36" s="204" t="str">
        <f aca="false">IF(Model!BA39=0,"",Model!BA39)</f>
        <v/>
      </c>
      <c r="BD36" s="204" t="str">
        <f aca="false">IF(Model!BB39=0,"",Model!BB39)</f>
        <v/>
      </c>
      <c r="BE36" s="204" t="str">
        <f aca="false">IF(Model!BC39=0,"",Model!BC39)</f>
        <v/>
      </c>
      <c r="BF36" s="204" t="str">
        <f aca="false">IF(Model!BD39=0,"",Model!BD39)</f>
        <v/>
      </c>
      <c r="BG36" s="204" t="str">
        <f aca="false">IF(Model!BE39=0,"",Model!BE39)</f>
        <v/>
      </c>
      <c r="BH36" s="204" t="str">
        <f aca="false">IF(Model!BF39=0,"",Model!BF39)</f>
        <v/>
      </c>
      <c r="BI36" s="204" t="str">
        <f aca="false">IF(Model!BG39=0,"",Model!BG39)</f>
        <v/>
      </c>
      <c r="BJ36" s="204" t="str">
        <f aca="false">IF(Model!BH39=0,"",Model!BH39)</f>
        <v/>
      </c>
      <c r="BK36" s="204" t="str">
        <f aca="false">IF(Model!BI39=0,"",Model!BI39)</f>
        <v/>
      </c>
      <c r="BL36" s="204" t="str">
        <f aca="false">IF(Model!BJ39=0,"",Model!BJ39)</f>
        <v/>
      </c>
      <c r="BM36" s="204" t="str">
        <f aca="false">IF(Model!BK39=0,"",Model!BK39)</f>
        <v/>
      </c>
      <c r="BN36" s="204" t="str">
        <f aca="false">IF(Model!BL39=0,"",Model!BL39)</f>
        <v/>
      </c>
      <c r="BO36" s="204" t="str">
        <f aca="false">IF(Model!BM39=0,"",Model!BM39)</f>
        <v/>
      </c>
      <c r="BP36" s="204" t="str">
        <f aca="false">IF(Model!BN39=0,"",Model!BN39)</f>
        <v/>
      </c>
      <c r="BQ36" s="204" t="str">
        <f aca="false">IF(Model!BO39=0,"",Model!BO39)</f>
        <v/>
      </c>
      <c r="BR36" s="204" t="str">
        <f aca="false">IF(Model!BP39=0,"",Model!BP39)</f>
        <v/>
      </c>
      <c r="BS36" s="204" t="str">
        <f aca="false">IF(Model!BQ39=0,"",Model!BQ39)</f>
        <v/>
      </c>
      <c r="BT36" s="204" t="str">
        <f aca="false">IF(Model!BR39=0,"",Model!BR39)</f>
        <v/>
      </c>
      <c r="BU36" s="204" t="str">
        <f aca="false">IF(Model!BS39=0,"",Model!BS39)</f>
        <v/>
      </c>
      <c r="BV36" s="204" t="str">
        <f aca="false">IF(Model!BT39=0,"",Model!BT39)</f>
        <v/>
      </c>
      <c r="BW36" s="204" t="str">
        <f aca="false">IF(Model!BU39=0,"",Model!BU39)</f>
        <v/>
      </c>
      <c r="BX36" s="204" t="str">
        <f aca="false">IF(Model!BV39=0,"",Model!BV39)</f>
        <v/>
      </c>
      <c r="BY36" s="204" t="str">
        <f aca="false">IF(Model!BW39=0,"",Model!BW39)</f>
        <v/>
      </c>
      <c r="BZ36" s="204" t="str">
        <f aca="false">IF(Model!BX39=0,"",Model!BX39)</f>
        <v/>
      </c>
      <c r="CA36" s="204" t="str">
        <f aca="false">IF(Model!BY39=0,"",Model!BY39)</f>
        <v/>
      </c>
      <c r="CB36" s="204" t="str">
        <f aca="false">IF(Model!BZ39=0,"",Model!BZ39)</f>
        <v/>
      </c>
      <c r="CC36" s="204" t="str">
        <f aca="false">IF(Model!CA39=0,"",Model!CA39)</f>
        <v/>
      </c>
      <c r="CD36" s="204" t="str">
        <f aca="false">IF(Model!CB39=0,"",Model!CB39)</f>
        <v/>
      </c>
      <c r="CE36" s="204" t="str">
        <f aca="false">IF(Model!CC39=0,"",Model!CC39)</f>
        <v/>
      </c>
      <c r="CF36" s="204" t="str">
        <f aca="false">IF(Model!CD39=0,"",Model!CD39)</f>
        <v/>
      </c>
      <c r="CG36" s="204" t="str">
        <f aca="false">IF(Model!CE39=0,"",Model!CE39)</f>
        <v/>
      </c>
      <c r="CH36" s="204" t="str">
        <f aca="false">IF(Model!CF39=0,"",Model!CF39)</f>
        <v/>
      </c>
      <c r="CI36" s="204" t="str">
        <f aca="false">IF(Model!CG39=0,"",Model!CG39)</f>
        <v/>
      </c>
      <c r="CJ36" s="204" t="str">
        <f aca="false">IF(Model!CH39=0,"",Model!CH39)</f>
        <v/>
      </c>
      <c r="CK36" s="204" t="str">
        <f aca="false">IF(Model!CI39=0,"",Model!CI39)</f>
        <v/>
      </c>
      <c r="CL36" s="204" t="str">
        <f aca="false">IF(Model!CJ39=0,"",Model!CJ39)</f>
        <v/>
      </c>
      <c r="CM36" s="204" t="str">
        <f aca="false">IF(Model!CK39=0,"",Model!CK39)</f>
        <v/>
      </c>
      <c r="CN36" s="204" t="str">
        <f aca="false">IF(Model!CL39=0,"",Model!CL39)</f>
        <v/>
      </c>
      <c r="CO36" s="204" t="str">
        <f aca="false">IF(Model!CM39=0,"",Model!CM39)</f>
        <v/>
      </c>
      <c r="CP36" s="204" t="str">
        <f aca="false">IF(Model!CN39=0,"",Model!CN39)</f>
        <v/>
      </c>
      <c r="CQ36" s="204" t="str">
        <f aca="false">IF(Model!CO39=0,"",Model!CO39)</f>
        <v/>
      </c>
      <c r="CR36" s="204" t="str">
        <f aca="false">IF(Model!CP39=0,"",Model!CP39)</f>
        <v/>
      </c>
      <c r="CS36" s="204" t="str">
        <f aca="false">IF(Model!CQ39=0,"",Model!CQ39)</f>
        <v/>
      </c>
      <c r="CT36" s="204" t="str">
        <f aca="false">IF(Model!CR39=0,"",Model!CR39)</f>
        <v/>
      </c>
      <c r="CU36" s="204" t="str">
        <f aca="false">IF(Model!CS39=0,"",Model!CS39)</f>
        <v/>
      </c>
      <c r="CV36" s="204" t="str">
        <f aca="false">IF(Model!CT39=0,"",Model!CT39)</f>
        <v/>
      </c>
      <c r="CW36" s="204" t="str">
        <f aca="false">IF(Model!CU39=0,"",Model!CU39)</f>
        <v/>
      </c>
      <c r="CX36" s="204" t="str">
        <f aca="false">IF(Model!CV39=0,"",Model!CV39)</f>
        <v/>
      </c>
      <c r="CY36" s="204" t="str">
        <f aca="false">IF(Model!CW39=0,"",Model!CW39)</f>
        <v/>
      </c>
      <c r="CZ36" s="204" t="str">
        <f aca="false">IF(Model!CX39=0,"",Model!CX39)</f>
        <v/>
      </c>
      <c r="DA36" s="204" t="str">
        <f aca="false">IF(Model!CY39=0,"",Model!CY39)</f>
        <v/>
      </c>
      <c r="DB36" s="204" t="str">
        <f aca="false">IF(Model!CZ39=0,"",Model!CZ39)</f>
        <v/>
      </c>
    </row>
    <row r="37" customFormat="false" ht="15" hidden="false" customHeight="true" outlineLevel="0" collapsed="false">
      <c r="A37" s="123" t="s">
        <v>34</v>
      </c>
      <c r="B37" s="201" t="n">
        <f aca="false">Projects!$B$31</f>
        <v>18000000</v>
      </c>
      <c r="C37" s="202" t="n">
        <f aca="false">EDATE(Model!$E$2,Projects!$C$31-1)</f>
        <v>47665</v>
      </c>
      <c r="D37" s="202" t="n">
        <f aca="false">EDATE(Model!$E$2,Projects!$C$31+Projects!$D$31-2)</f>
        <v>48214</v>
      </c>
      <c r="E37" s="203" t="n">
        <f aca="false">Projects!$D$31</f>
        <v>19</v>
      </c>
      <c r="F37" s="201" t="n">
        <f aca="false">SUM(G37:DB37)</f>
        <v>0</v>
      </c>
      <c r="G37" s="204" t="str">
        <f aca="false">IF(Model!E40=0,"",Model!E40)</f>
        <v/>
      </c>
      <c r="H37" s="204" t="str">
        <f aca="false">IF(Model!F40=0,"",Model!F40)</f>
        <v/>
      </c>
      <c r="I37" s="204" t="str">
        <f aca="false">IF(Model!G40=0,"",Model!G40)</f>
        <v/>
      </c>
      <c r="J37" s="204" t="str">
        <f aca="false">IF(Model!H40=0,"",Model!H40)</f>
        <v/>
      </c>
      <c r="K37" s="204" t="str">
        <f aca="false">IF(Model!I40=0,"",Model!I40)</f>
        <v/>
      </c>
      <c r="L37" s="204" t="str">
        <f aca="false">IF(Model!J40=0,"",Model!J40)</f>
        <v/>
      </c>
      <c r="M37" s="204" t="str">
        <f aca="false">IF(Model!K40=0,"",Model!K40)</f>
        <v/>
      </c>
      <c r="N37" s="204" t="str">
        <f aca="false">IF(Model!L40=0,"",Model!L40)</f>
        <v/>
      </c>
      <c r="O37" s="204" t="str">
        <f aca="false">IF(Model!M40=0,"",Model!M40)</f>
        <v/>
      </c>
      <c r="P37" s="204" t="str">
        <f aca="false">IF(Model!N40=0,"",Model!N40)</f>
        <v/>
      </c>
      <c r="Q37" s="204" t="str">
        <f aca="false">IF(Model!O40=0,"",Model!O40)</f>
        <v/>
      </c>
      <c r="R37" s="204" t="str">
        <f aca="false">IF(Model!P40=0,"",Model!P40)</f>
        <v/>
      </c>
      <c r="S37" s="204" t="str">
        <f aca="false">IF(Model!Q40=0,"",Model!Q40)</f>
        <v/>
      </c>
      <c r="T37" s="204" t="str">
        <f aca="false">IF(Model!R40=0,"",Model!R40)</f>
        <v/>
      </c>
      <c r="U37" s="204" t="str">
        <f aca="false">IF(Model!S40=0,"",Model!S40)</f>
        <v/>
      </c>
      <c r="V37" s="204" t="str">
        <f aca="false">IF(Model!T40=0,"",Model!T40)</f>
        <v/>
      </c>
      <c r="W37" s="204" t="str">
        <f aca="false">IF(Model!U40=0,"",Model!U40)</f>
        <v/>
      </c>
      <c r="X37" s="204" t="str">
        <f aca="false">IF(Model!V40=0,"",Model!V40)</f>
        <v/>
      </c>
      <c r="Y37" s="204" t="str">
        <f aca="false">IF(Model!W40=0,"",Model!W40)</f>
        <v/>
      </c>
      <c r="Z37" s="204" t="str">
        <f aca="false">IF(Model!X40=0,"",Model!X40)</f>
        <v/>
      </c>
      <c r="AA37" s="204" t="str">
        <f aca="false">IF(Model!Y40=0,"",Model!Y40)</f>
        <v/>
      </c>
      <c r="AB37" s="204" t="str">
        <f aca="false">IF(Model!Z40=0,"",Model!Z40)</f>
        <v/>
      </c>
      <c r="AC37" s="204" t="str">
        <f aca="false">IF(Model!AA40=0,"",Model!AA40)</f>
        <v/>
      </c>
      <c r="AD37" s="204" t="str">
        <f aca="false">IF(Model!AB40=0,"",Model!AB40)</f>
        <v/>
      </c>
      <c r="AE37" s="204" t="str">
        <f aca="false">IF(Model!AC40=0,"",Model!AC40)</f>
        <v/>
      </c>
      <c r="AF37" s="204" t="str">
        <f aca="false">IF(Model!AD40=0,"",Model!AD40)</f>
        <v/>
      </c>
      <c r="AG37" s="204" t="str">
        <f aca="false">IF(Model!AE40=0,"",Model!AE40)</f>
        <v/>
      </c>
      <c r="AH37" s="204" t="str">
        <f aca="false">IF(Model!AF40=0,"",Model!AF40)</f>
        <v/>
      </c>
      <c r="AI37" s="204" t="str">
        <f aca="false">IF(Model!AG40=0,"",Model!AG40)</f>
        <v/>
      </c>
      <c r="AJ37" s="204" t="str">
        <f aca="false">IF(Model!AH40=0,"",Model!AH40)</f>
        <v/>
      </c>
      <c r="AK37" s="204" t="str">
        <f aca="false">IF(Model!AI40=0,"",Model!AI40)</f>
        <v/>
      </c>
      <c r="AL37" s="204" t="str">
        <f aca="false">IF(Model!AJ40=0,"",Model!AJ40)</f>
        <v/>
      </c>
      <c r="AM37" s="204" t="str">
        <f aca="false">IF(Model!AK40=0,"",Model!AK40)</f>
        <v/>
      </c>
      <c r="AN37" s="204" t="str">
        <f aca="false">IF(Model!AL40=0,"",Model!AL40)</f>
        <v/>
      </c>
      <c r="AO37" s="204" t="str">
        <f aca="false">IF(Model!AM40=0,"",Model!AM40)</f>
        <v/>
      </c>
      <c r="AP37" s="204" t="str">
        <f aca="false">IF(Model!AN40=0,"",Model!AN40)</f>
        <v/>
      </c>
      <c r="AQ37" s="204" t="str">
        <f aca="false">IF(Model!AO40=0,"",Model!AO40)</f>
        <v/>
      </c>
      <c r="AR37" s="204" t="str">
        <f aca="false">IF(Model!AP40=0,"",Model!AP40)</f>
        <v/>
      </c>
      <c r="AS37" s="204" t="str">
        <f aca="false">IF(Model!AQ40=0,"",Model!AQ40)</f>
        <v/>
      </c>
      <c r="AT37" s="204" t="str">
        <f aca="false">IF(Model!AR40=0,"",Model!AR40)</f>
        <v/>
      </c>
      <c r="AU37" s="204" t="str">
        <f aca="false">IF(Model!AS40=0,"",Model!AS40)</f>
        <v/>
      </c>
      <c r="AV37" s="204" t="str">
        <f aca="false">IF(Model!AT40=0,"",Model!AT40)</f>
        <v/>
      </c>
      <c r="AW37" s="204" t="str">
        <f aca="false">IF(Model!AU40=0,"",Model!AU40)</f>
        <v/>
      </c>
      <c r="AX37" s="204" t="str">
        <f aca="false">IF(Model!AV40=0,"",Model!AV40)</f>
        <v/>
      </c>
      <c r="AY37" s="204" t="str">
        <f aca="false">IF(Model!AW40=0,"",Model!AW40)</f>
        <v/>
      </c>
      <c r="AZ37" s="204" t="str">
        <f aca="false">IF(Model!AX40=0,"",Model!AX40)</f>
        <v/>
      </c>
      <c r="BA37" s="204" t="str">
        <f aca="false">IF(Model!AY40=0,"",Model!AY40)</f>
        <v/>
      </c>
      <c r="BB37" s="204" t="str">
        <f aca="false">IF(Model!AZ40=0,"",Model!AZ40)</f>
        <v/>
      </c>
      <c r="BC37" s="204" t="str">
        <f aca="false">IF(Model!BA40=0,"",Model!BA40)</f>
        <v/>
      </c>
      <c r="BD37" s="204" t="str">
        <f aca="false">IF(Model!BB40=0,"",Model!BB40)</f>
        <v/>
      </c>
      <c r="BE37" s="204" t="str">
        <f aca="false">IF(Model!BC40=0,"",Model!BC40)</f>
        <v/>
      </c>
      <c r="BF37" s="204" t="str">
        <f aca="false">IF(Model!BD40=0,"",Model!BD40)</f>
        <v/>
      </c>
      <c r="BG37" s="204" t="str">
        <f aca="false">IF(Model!BE40=0,"",Model!BE40)</f>
        <v/>
      </c>
      <c r="BH37" s="204" t="str">
        <f aca="false">IF(Model!BF40=0,"",Model!BF40)</f>
        <v/>
      </c>
      <c r="BI37" s="204" t="str">
        <f aca="false">IF(Model!BG40=0,"",Model!BG40)</f>
        <v/>
      </c>
      <c r="BJ37" s="204" t="str">
        <f aca="false">IF(Model!BH40=0,"",Model!BH40)</f>
        <v/>
      </c>
      <c r="BK37" s="204" t="str">
        <f aca="false">IF(Model!BI40=0,"",Model!BI40)</f>
        <v/>
      </c>
      <c r="BL37" s="204" t="str">
        <f aca="false">IF(Model!BJ40=0,"",Model!BJ40)</f>
        <v/>
      </c>
      <c r="BM37" s="204" t="str">
        <f aca="false">IF(Model!BK40=0,"",Model!BK40)</f>
        <v/>
      </c>
      <c r="BN37" s="204" t="str">
        <f aca="false">IF(Model!BL40=0,"",Model!BL40)</f>
        <v/>
      </c>
      <c r="BO37" s="204" t="str">
        <f aca="false">IF(Model!BM40=0,"",Model!BM40)</f>
        <v/>
      </c>
      <c r="BP37" s="204" t="str">
        <f aca="false">IF(Model!BN40=0,"",Model!BN40)</f>
        <v/>
      </c>
      <c r="BQ37" s="204" t="str">
        <f aca="false">IF(Model!BO40=0,"",Model!BO40)</f>
        <v/>
      </c>
      <c r="BR37" s="204" t="str">
        <f aca="false">IF(Model!BP40=0,"",Model!BP40)</f>
        <v/>
      </c>
      <c r="BS37" s="204" t="str">
        <f aca="false">IF(Model!BQ40=0,"",Model!BQ40)</f>
        <v/>
      </c>
      <c r="BT37" s="204" t="str">
        <f aca="false">IF(Model!BR40=0,"",Model!BR40)</f>
        <v/>
      </c>
      <c r="BU37" s="204" t="str">
        <f aca="false">IF(Model!BS40=0,"",Model!BS40)</f>
        <v/>
      </c>
      <c r="BV37" s="204" t="str">
        <f aca="false">IF(Model!BT40=0,"",Model!BT40)</f>
        <v/>
      </c>
      <c r="BW37" s="204" t="str">
        <f aca="false">IF(Model!BU40=0,"",Model!BU40)</f>
        <v/>
      </c>
      <c r="BX37" s="204" t="str">
        <f aca="false">IF(Model!BV40=0,"",Model!BV40)</f>
        <v/>
      </c>
      <c r="BY37" s="204" t="str">
        <f aca="false">IF(Model!BW40=0,"",Model!BW40)</f>
        <v/>
      </c>
      <c r="BZ37" s="204" t="str">
        <f aca="false">IF(Model!BX40=0,"",Model!BX40)</f>
        <v/>
      </c>
      <c r="CA37" s="204" t="str">
        <f aca="false">IF(Model!BY40=0,"",Model!BY40)</f>
        <v/>
      </c>
      <c r="CB37" s="204" t="str">
        <f aca="false">IF(Model!BZ40=0,"",Model!BZ40)</f>
        <v/>
      </c>
      <c r="CC37" s="204" t="str">
        <f aca="false">IF(Model!CA40=0,"",Model!CA40)</f>
        <v/>
      </c>
      <c r="CD37" s="204" t="str">
        <f aca="false">IF(Model!CB40=0,"",Model!CB40)</f>
        <v/>
      </c>
      <c r="CE37" s="204" t="str">
        <f aca="false">IF(Model!CC40=0,"",Model!CC40)</f>
        <v/>
      </c>
      <c r="CF37" s="204" t="str">
        <f aca="false">IF(Model!CD40=0,"",Model!CD40)</f>
        <v/>
      </c>
      <c r="CG37" s="204" t="str">
        <f aca="false">IF(Model!CE40=0,"",Model!CE40)</f>
        <v/>
      </c>
      <c r="CH37" s="204" t="str">
        <f aca="false">IF(Model!CF40=0,"",Model!CF40)</f>
        <v/>
      </c>
      <c r="CI37" s="204" t="str">
        <f aca="false">IF(Model!CG40=0,"",Model!CG40)</f>
        <v/>
      </c>
      <c r="CJ37" s="204" t="str">
        <f aca="false">IF(Model!CH40=0,"",Model!CH40)</f>
        <v/>
      </c>
      <c r="CK37" s="204" t="str">
        <f aca="false">IF(Model!CI40=0,"",Model!CI40)</f>
        <v/>
      </c>
      <c r="CL37" s="204" t="str">
        <f aca="false">IF(Model!CJ40=0,"",Model!CJ40)</f>
        <v/>
      </c>
      <c r="CM37" s="204" t="str">
        <f aca="false">IF(Model!CK40=0,"",Model!CK40)</f>
        <v/>
      </c>
      <c r="CN37" s="204" t="str">
        <f aca="false">IF(Model!CL40=0,"",Model!CL40)</f>
        <v/>
      </c>
      <c r="CO37" s="204" t="str">
        <f aca="false">IF(Model!CM40=0,"",Model!CM40)</f>
        <v/>
      </c>
      <c r="CP37" s="204" t="str">
        <f aca="false">IF(Model!CN40=0,"",Model!CN40)</f>
        <v/>
      </c>
      <c r="CQ37" s="204" t="str">
        <f aca="false">IF(Model!CO40=0,"",Model!CO40)</f>
        <v/>
      </c>
      <c r="CR37" s="204" t="str">
        <f aca="false">IF(Model!CP40=0,"",Model!CP40)</f>
        <v/>
      </c>
      <c r="CS37" s="204" t="str">
        <f aca="false">IF(Model!CQ40=0,"",Model!CQ40)</f>
        <v/>
      </c>
      <c r="CT37" s="204" t="str">
        <f aca="false">IF(Model!CR40=0,"",Model!CR40)</f>
        <v/>
      </c>
      <c r="CU37" s="204" t="str">
        <f aca="false">IF(Model!CS40=0,"",Model!CS40)</f>
        <v/>
      </c>
      <c r="CV37" s="204" t="str">
        <f aca="false">IF(Model!CT40=0,"",Model!CT40)</f>
        <v/>
      </c>
      <c r="CW37" s="204" t="str">
        <f aca="false">IF(Model!CU40=0,"",Model!CU40)</f>
        <v/>
      </c>
      <c r="CX37" s="204" t="str">
        <f aca="false">IF(Model!CV40=0,"",Model!CV40)</f>
        <v/>
      </c>
      <c r="CY37" s="204" t="str">
        <f aca="false">IF(Model!CW40=0,"",Model!CW40)</f>
        <v/>
      </c>
      <c r="CZ37" s="204" t="str">
        <f aca="false">IF(Model!CX40=0,"",Model!CX40)</f>
        <v/>
      </c>
      <c r="DA37" s="204" t="str">
        <f aca="false">IF(Model!CY40=0,"",Model!CY40)</f>
        <v/>
      </c>
      <c r="DB37" s="204" t="str">
        <f aca="false">IF(Model!CZ40=0,"",Model!CZ40)</f>
        <v/>
      </c>
    </row>
    <row r="38" customFormat="false" ht="15" hidden="false" customHeight="true" outlineLevel="0" collapsed="false">
      <c r="A38" s="123" t="s">
        <v>35</v>
      </c>
      <c r="B38" s="201" t="n">
        <f aca="false">Projects!$B$32</f>
        <v>15000000</v>
      </c>
      <c r="C38" s="202" t="n">
        <f aca="false">EDATE(Model!$E$2,Projects!$C$32-1)</f>
        <v>47727</v>
      </c>
      <c r="D38" s="202" t="n">
        <f aca="false">EDATE(Model!$E$2,Projects!$C$32+Projects!$D$32-2)</f>
        <v>48274</v>
      </c>
      <c r="E38" s="203" t="n">
        <f aca="false">Projects!$D$32</f>
        <v>19</v>
      </c>
      <c r="F38" s="201" t="n">
        <f aca="false">SUM(G38:DB38)</f>
        <v>0</v>
      </c>
      <c r="G38" s="204" t="str">
        <f aca="false">IF(Model!E41=0,"",Model!E41)</f>
        <v/>
      </c>
      <c r="H38" s="204" t="str">
        <f aca="false">IF(Model!F41=0,"",Model!F41)</f>
        <v/>
      </c>
      <c r="I38" s="204" t="str">
        <f aca="false">IF(Model!G41=0,"",Model!G41)</f>
        <v/>
      </c>
      <c r="J38" s="204" t="str">
        <f aca="false">IF(Model!H41=0,"",Model!H41)</f>
        <v/>
      </c>
      <c r="K38" s="204" t="str">
        <f aca="false">IF(Model!I41=0,"",Model!I41)</f>
        <v/>
      </c>
      <c r="L38" s="204" t="str">
        <f aca="false">IF(Model!J41=0,"",Model!J41)</f>
        <v/>
      </c>
      <c r="M38" s="204" t="str">
        <f aca="false">IF(Model!K41=0,"",Model!K41)</f>
        <v/>
      </c>
      <c r="N38" s="204" t="str">
        <f aca="false">IF(Model!L41=0,"",Model!L41)</f>
        <v/>
      </c>
      <c r="O38" s="204" t="str">
        <f aca="false">IF(Model!M41=0,"",Model!M41)</f>
        <v/>
      </c>
      <c r="P38" s="204" t="str">
        <f aca="false">IF(Model!N41=0,"",Model!N41)</f>
        <v/>
      </c>
      <c r="Q38" s="204" t="str">
        <f aca="false">IF(Model!O41=0,"",Model!O41)</f>
        <v/>
      </c>
      <c r="R38" s="204" t="str">
        <f aca="false">IF(Model!P41=0,"",Model!P41)</f>
        <v/>
      </c>
      <c r="S38" s="204" t="str">
        <f aca="false">IF(Model!Q41=0,"",Model!Q41)</f>
        <v/>
      </c>
      <c r="T38" s="204" t="str">
        <f aca="false">IF(Model!R41=0,"",Model!R41)</f>
        <v/>
      </c>
      <c r="U38" s="204" t="str">
        <f aca="false">IF(Model!S41=0,"",Model!S41)</f>
        <v/>
      </c>
      <c r="V38" s="204" t="str">
        <f aca="false">IF(Model!T41=0,"",Model!T41)</f>
        <v/>
      </c>
      <c r="W38" s="204" t="str">
        <f aca="false">IF(Model!U41=0,"",Model!U41)</f>
        <v/>
      </c>
      <c r="X38" s="204" t="str">
        <f aca="false">IF(Model!V41=0,"",Model!V41)</f>
        <v/>
      </c>
      <c r="Y38" s="204" t="str">
        <f aca="false">IF(Model!W41=0,"",Model!W41)</f>
        <v/>
      </c>
      <c r="Z38" s="204" t="str">
        <f aca="false">IF(Model!X41=0,"",Model!X41)</f>
        <v/>
      </c>
      <c r="AA38" s="204" t="str">
        <f aca="false">IF(Model!Y41=0,"",Model!Y41)</f>
        <v/>
      </c>
      <c r="AB38" s="204" t="str">
        <f aca="false">IF(Model!Z41=0,"",Model!Z41)</f>
        <v/>
      </c>
      <c r="AC38" s="204" t="str">
        <f aca="false">IF(Model!AA41=0,"",Model!AA41)</f>
        <v/>
      </c>
      <c r="AD38" s="204" t="str">
        <f aca="false">IF(Model!AB41=0,"",Model!AB41)</f>
        <v/>
      </c>
      <c r="AE38" s="204" t="str">
        <f aca="false">IF(Model!AC41=0,"",Model!AC41)</f>
        <v/>
      </c>
      <c r="AF38" s="204" t="str">
        <f aca="false">IF(Model!AD41=0,"",Model!AD41)</f>
        <v/>
      </c>
      <c r="AG38" s="204" t="str">
        <f aca="false">IF(Model!AE41=0,"",Model!AE41)</f>
        <v/>
      </c>
      <c r="AH38" s="204" t="str">
        <f aca="false">IF(Model!AF41=0,"",Model!AF41)</f>
        <v/>
      </c>
      <c r="AI38" s="204" t="str">
        <f aca="false">IF(Model!AG41=0,"",Model!AG41)</f>
        <v/>
      </c>
      <c r="AJ38" s="204" t="str">
        <f aca="false">IF(Model!AH41=0,"",Model!AH41)</f>
        <v/>
      </c>
      <c r="AK38" s="204" t="str">
        <f aca="false">IF(Model!AI41=0,"",Model!AI41)</f>
        <v/>
      </c>
      <c r="AL38" s="204" t="str">
        <f aca="false">IF(Model!AJ41=0,"",Model!AJ41)</f>
        <v/>
      </c>
      <c r="AM38" s="204" t="str">
        <f aca="false">IF(Model!AK41=0,"",Model!AK41)</f>
        <v/>
      </c>
      <c r="AN38" s="204" t="str">
        <f aca="false">IF(Model!AL41=0,"",Model!AL41)</f>
        <v/>
      </c>
      <c r="AO38" s="204" t="str">
        <f aca="false">IF(Model!AM41=0,"",Model!AM41)</f>
        <v/>
      </c>
      <c r="AP38" s="204" t="str">
        <f aca="false">IF(Model!AN41=0,"",Model!AN41)</f>
        <v/>
      </c>
      <c r="AQ38" s="204" t="str">
        <f aca="false">IF(Model!AO41=0,"",Model!AO41)</f>
        <v/>
      </c>
      <c r="AR38" s="204" t="str">
        <f aca="false">IF(Model!AP41=0,"",Model!AP41)</f>
        <v/>
      </c>
      <c r="AS38" s="204" t="str">
        <f aca="false">IF(Model!AQ41=0,"",Model!AQ41)</f>
        <v/>
      </c>
      <c r="AT38" s="204" t="str">
        <f aca="false">IF(Model!AR41=0,"",Model!AR41)</f>
        <v/>
      </c>
      <c r="AU38" s="204" t="str">
        <f aca="false">IF(Model!AS41=0,"",Model!AS41)</f>
        <v/>
      </c>
      <c r="AV38" s="204" t="str">
        <f aca="false">IF(Model!AT41=0,"",Model!AT41)</f>
        <v/>
      </c>
      <c r="AW38" s="204" t="str">
        <f aca="false">IF(Model!AU41=0,"",Model!AU41)</f>
        <v/>
      </c>
      <c r="AX38" s="204" t="str">
        <f aca="false">IF(Model!AV41=0,"",Model!AV41)</f>
        <v/>
      </c>
      <c r="AY38" s="204" t="str">
        <f aca="false">IF(Model!AW41=0,"",Model!AW41)</f>
        <v/>
      </c>
      <c r="AZ38" s="204" t="str">
        <f aca="false">IF(Model!AX41=0,"",Model!AX41)</f>
        <v/>
      </c>
      <c r="BA38" s="204" t="str">
        <f aca="false">IF(Model!AY41=0,"",Model!AY41)</f>
        <v/>
      </c>
      <c r="BB38" s="204" t="str">
        <f aca="false">IF(Model!AZ41=0,"",Model!AZ41)</f>
        <v/>
      </c>
      <c r="BC38" s="204" t="str">
        <f aca="false">IF(Model!BA41=0,"",Model!BA41)</f>
        <v/>
      </c>
      <c r="BD38" s="204" t="str">
        <f aca="false">IF(Model!BB41=0,"",Model!BB41)</f>
        <v/>
      </c>
      <c r="BE38" s="204" t="str">
        <f aca="false">IF(Model!BC41=0,"",Model!BC41)</f>
        <v/>
      </c>
      <c r="BF38" s="204" t="str">
        <f aca="false">IF(Model!BD41=0,"",Model!BD41)</f>
        <v/>
      </c>
      <c r="BG38" s="204" t="str">
        <f aca="false">IF(Model!BE41=0,"",Model!BE41)</f>
        <v/>
      </c>
      <c r="BH38" s="204" t="str">
        <f aca="false">IF(Model!BF41=0,"",Model!BF41)</f>
        <v/>
      </c>
      <c r="BI38" s="204" t="str">
        <f aca="false">IF(Model!BG41=0,"",Model!BG41)</f>
        <v/>
      </c>
      <c r="BJ38" s="204" t="str">
        <f aca="false">IF(Model!BH41=0,"",Model!BH41)</f>
        <v/>
      </c>
      <c r="BK38" s="204" t="str">
        <f aca="false">IF(Model!BI41=0,"",Model!BI41)</f>
        <v/>
      </c>
      <c r="BL38" s="204" t="str">
        <f aca="false">IF(Model!BJ41=0,"",Model!BJ41)</f>
        <v/>
      </c>
      <c r="BM38" s="204" t="str">
        <f aca="false">IF(Model!BK41=0,"",Model!BK41)</f>
        <v/>
      </c>
      <c r="BN38" s="204" t="str">
        <f aca="false">IF(Model!BL41=0,"",Model!BL41)</f>
        <v/>
      </c>
      <c r="BO38" s="204" t="str">
        <f aca="false">IF(Model!BM41=0,"",Model!BM41)</f>
        <v/>
      </c>
      <c r="BP38" s="204" t="str">
        <f aca="false">IF(Model!BN41=0,"",Model!BN41)</f>
        <v/>
      </c>
      <c r="BQ38" s="204" t="str">
        <f aca="false">IF(Model!BO41=0,"",Model!BO41)</f>
        <v/>
      </c>
      <c r="BR38" s="204" t="str">
        <f aca="false">IF(Model!BP41=0,"",Model!BP41)</f>
        <v/>
      </c>
      <c r="BS38" s="204" t="str">
        <f aca="false">IF(Model!BQ41=0,"",Model!BQ41)</f>
        <v/>
      </c>
      <c r="BT38" s="204" t="str">
        <f aca="false">IF(Model!BR41=0,"",Model!BR41)</f>
        <v/>
      </c>
      <c r="BU38" s="204" t="str">
        <f aca="false">IF(Model!BS41=0,"",Model!BS41)</f>
        <v/>
      </c>
      <c r="BV38" s="204" t="str">
        <f aca="false">IF(Model!BT41=0,"",Model!BT41)</f>
        <v/>
      </c>
      <c r="BW38" s="204" t="str">
        <f aca="false">IF(Model!BU41=0,"",Model!BU41)</f>
        <v/>
      </c>
      <c r="BX38" s="204" t="str">
        <f aca="false">IF(Model!BV41=0,"",Model!BV41)</f>
        <v/>
      </c>
      <c r="BY38" s="204" t="str">
        <f aca="false">IF(Model!BW41=0,"",Model!BW41)</f>
        <v/>
      </c>
      <c r="BZ38" s="204" t="str">
        <f aca="false">IF(Model!BX41=0,"",Model!BX41)</f>
        <v/>
      </c>
      <c r="CA38" s="204" t="str">
        <f aca="false">IF(Model!BY41=0,"",Model!BY41)</f>
        <v/>
      </c>
      <c r="CB38" s="204" t="str">
        <f aca="false">IF(Model!BZ41=0,"",Model!BZ41)</f>
        <v/>
      </c>
      <c r="CC38" s="204" t="str">
        <f aca="false">IF(Model!CA41=0,"",Model!CA41)</f>
        <v/>
      </c>
      <c r="CD38" s="204" t="str">
        <f aca="false">IF(Model!CB41=0,"",Model!CB41)</f>
        <v/>
      </c>
      <c r="CE38" s="204" t="str">
        <f aca="false">IF(Model!CC41=0,"",Model!CC41)</f>
        <v/>
      </c>
      <c r="CF38" s="204" t="str">
        <f aca="false">IF(Model!CD41=0,"",Model!CD41)</f>
        <v/>
      </c>
      <c r="CG38" s="204" t="str">
        <f aca="false">IF(Model!CE41=0,"",Model!CE41)</f>
        <v/>
      </c>
      <c r="CH38" s="204" t="str">
        <f aca="false">IF(Model!CF41=0,"",Model!CF41)</f>
        <v/>
      </c>
      <c r="CI38" s="204" t="str">
        <f aca="false">IF(Model!CG41=0,"",Model!CG41)</f>
        <v/>
      </c>
      <c r="CJ38" s="204" t="str">
        <f aca="false">IF(Model!CH41=0,"",Model!CH41)</f>
        <v/>
      </c>
      <c r="CK38" s="204" t="str">
        <f aca="false">IF(Model!CI41=0,"",Model!CI41)</f>
        <v/>
      </c>
      <c r="CL38" s="204" t="str">
        <f aca="false">IF(Model!CJ41=0,"",Model!CJ41)</f>
        <v/>
      </c>
      <c r="CM38" s="204" t="str">
        <f aca="false">IF(Model!CK41=0,"",Model!CK41)</f>
        <v/>
      </c>
      <c r="CN38" s="204" t="str">
        <f aca="false">IF(Model!CL41=0,"",Model!CL41)</f>
        <v/>
      </c>
      <c r="CO38" s="204" t="str">
        <f aca="false">IF(Model!CM41=0,"",Model!CM41)</f>
        <v/>
      </c>
      <c r="CP38" s="204" t="str">
        <f aca="false">IF(Model!CN41=0,"",Model!CN41)</f>
        <v/>
      </c>
      <c r="CQ38" s="204" t="str">
        <f aca="false">IF(Model!CO41=0,"",Model!CO41)</f>
        <v/>
      </c>
      <c r="CR38" s="204" t="str">
        <f aca="false">IF(Model!CP41=0,"",Model!CP41)</f>
        <v/>
      </c>
      <c r="CS38" s="204" t="str">
        <f aca="false">IF(Model!CQ41=0,"",Model!CQ41)</f>
        <v/>
      </c>
      <c r="CT38" s="204" t="str">
        <f aca="false">IF(Model!CR41=0,"",Model!CR41)</f>
        <v/>
      </c>
      <c r="CU38" s="204" t="str">
        <f aca="false">IF(Model!CS41=0,"",Model!CS41)</f>
        <v/>
      </c>
      <c r="CV38" s="204" t="str">
        <f aca="false">IF(Model!CT41=0,"",Model!CT41)</f>
        <v/>
      </c>
      <c r="CW38" s="204" t="str">
        <f aca="false">IF(Model!CU41=0,"",Model!CU41)</f>
        <v/>
      </c>
      <c r="CX38" s="204" t="str">
        <f aca="false">IF(Model!CV41=0,"",Model!CV41)</f>
        <v/>
      </c>
      <c r="CY38" s="204" t="str">
        <f aca="false">IF(Model!CW41=0,"",Model!CW41)</f>
        <v/>
      </c>
      <c r="CZ38" s="204" t="str">
        <f aca="false">IF(Model!CX41=0,"",Model!CX41)</f>
        <v/>
      </c>
      <c r="DA38" s="204" t="str">
        <f aca="false">IF(Model!CY41=0,"",Model!CY41)</f>
        <v/>
      </c>
      <c r="DB38" s="204" t="str">
        <f aca="false">IF(Model!CZ41=0,"",Model!CZ41)</f>
        <v/>
      </c>
    </row>
    <row r="39" customFormat="false" ht="15" hidden="false" customHeight="true" outlineLevel="0" collapsed="false">
      <c r="A39" s="123" t="s">
        <v>36</v>
      </c>
      <c r="B39" s="201" t="n">
        <f aca="false">Projects!$B$33</f>
        <v>15000000</v>
      </c>
      <c r="C39" s="202" t="n">
        <f aca="false">EDATE(Model!$E$2,Projects!$C$33-1)</f>
        <v>47788</v>
      </c>
      <c r="D39" s="202" t="n">
        <f aca="false">EDATE(Model!$E$2,Projects!$C$33+Projects!$D$33-2)</f>
        <v>48335</v>
      </c>
      <c r="E39" s="203" t="n">
        <f aca="false">Projects!$D$33</f>
        <v>19</v>
      </c>
      <c r="F39" s="201" t="n">
        <f aca="false">SUM(G39:DB39)</f>
        <v>0</v>
      </c>
      <c r="G39" s="204" t="str">
        <f aca="false">IF(Model!E42=0,"",Model!E42)</f>
        <v/>
      </c>
      <c r="H39" s="204" t="str">
        <f aca="false">IF(Model!F42=0,"",Model!F42)</f>
        <v/>
      </c>
      <c r="I39" s="204" t="str">
        <f aca="false">IF(Model!G42=0,"",Model!G42)</f>
        <v/>
      </c>
      <c r="J39" s="204" t="str">
        <f aca="false">IF(Model!H42=0,"",Model!H42)</f>
        <v/>
      </c>
      <c r="K39" s="204" t="str">
        <f aca="false">IF(Model!I42=0,"",Model!I42)</f>
        <v/>
      </c>
      <c r="L39" s="204" t="str">
        <f aca="false">IF(Model!J42=0,"",Model!J42)</f>
        <v/>
      </c>
      <c r="M39" s="204" t="str">
        <f aca="false">IF(Model!K42=0,"",Model!K42)</f>
        <v/>
      </c>
      <c r="N39" s="204" t="str">
        <f aca="false">IF(Model!L42=0,"",Model!L42)</f>
        <v/>
      </c>
      <c r="O39" s="204" t="str">
        <f aca="false">IF(Model!M42=0,"",Model!M42)</f>
        <v/>
      </c>
      <c r="P39" s="204" t="str">
        <f aca="false">IF(Model!N42=0,"",Model!N42)</f>
        <v/>
      </c>
      <c r="Q39" s="204" t="str">
        <f aca="false">IF(Model!O42=0,"",Model!O42)</f>
        <v/>
      </c>
      <c r="R39" s="204" t="str">
        <f aca="false">IF(Model!P42=0,"",Model!P42)</f>
        <v/>
      </c>
      <c r="S39" s="204" t="str">
        <f aca="false">IF(Model!Q42=0,"",Model!Q42)</f>
        <v/>
      </c>
      <c r="T39" s="204" t="str">
        <f aca="false">IF(Model!R42=0,"",Model!R42)</f>
        <v/>
      </c>
      <c r="U39" s="204" t="str">
        <f aca="false">IF(Model!S42=0,"",Model!S42)</f>
        <v/>
      </c>
      <c r="V39" s="204" t="str">
        <f aca="false">IF(Model!T42=0,"",Model!T42)</f>
        <v/>
      </c>
      <c r="W39" s="204" t="str">
        <f aca="false">IF(Model!U42=0,"",Model!U42)</f>
        <v/>
      </c>
      <c r="X39" s="204" t="str">
        <f aca="false">IF(Model!V42=0,"",Model!V42)</f>
        <v/>
      </c>
      <c r="Y39" s="204" t="str">
        <f aca="false">IF(Model!W42=0,"",Model!W42)</f>
        <v/>
      </c>
      <c r="Z39" s="204" t="str">
        <f aca="false">IF(Model!X42=0,"",Model!X42)</f>
        <v/>
      </c>
      <c r="AA39" s="204" t="str">
        <f aca="false">IF(Model!Y42=0,"",Model!Y42)</f>
        <v/>
      </c>
      <c r="AB39" s="204" t="str">
        <f aca="false">IF(Model!Z42=0,"",Model!Z42)</f>
        <v/>
      </c>
      <c r="AC39" s="204" t="str">
        <f aca="false">IF(Model!AA42=0,"",Model!AA42)</f>
        <v/>
      </c>
      <c r="AD39" s="204" t="str">
        <f aca="false">IF(Model!AB42=0,"",Model!AB42)</f>
        <v/>
      </c>
      <c r="AE39" s="204" t="str">
        <f aca="false">IF(Model!AC42=0,"",Model!AC42)</f>
        <v/>
      </c>
      <c r="AF39" s="204" t="str">
        <f aca="false">IF(Model!AD42=0,"",Model!AD42)</f>
        <v/>
      </c>
      <c r="AG39" s="204" t="str">
        <f aca="false">IF(Model!AE42=0,"",Model!AE42)</f>
        <v/>
      </c>
      <c r="AH39" s="204" t="str">
        <f aca="false">IF(Model!AF42=0,"",Model!AF42)</f>
        <v/>
      </c>
      <c r="AI39" s="204" t="str">
        <f aca="false">IF(Model!AG42=0,"",Model!AG42)</f>
        <v/>
      </c>
      <c r="AJ39" s="204" t="str">
        <f aca="false">IF(Model!AH42=0,"",Model!AH42)</f>
        <v/>
      </c>
      <c r="AK39" s="204" t="str">
        <f aca="false">IF(Model!AI42=0,"",Model!AI42)</f>
        <v/>
      </c>
      <c r="AL39" s="204" t="str">
        <f aca="false">IF(Model!AJ42=0,"",Model!AJ42)</f>
        <v/>
      </c>
      <c r="AM39" s="204" t="str">
        <f aca="false">IF(Model!AK42=0,"",Model!AK42)</f>
        <v/>
      </c>
      <c r="AN39" s="204" t="str">
        <f aca="false">IF(Model!AL42=0,"",Model!AL42)</f>
        <v/>
      </c>
      <c r="AO39" s="204" t="str">
        <f aca="false">IF(Model!AM42=0,"",Model!AM42)</f>
        <v/>
      </c>
      <c r="AP39" s="204" t="str">
        <f aca="false">IF(Model!AN42=0,"",Model!AN42)</f>
        <v/>
      </c>
      <c r="AQ39" s="204" t="str">
        <f aca="false">IF(Model!AO42=0,"",Model!AO42)</f>
        <v/>
      </c>
      <c r="AR39" s="204" t="str">
        <f aca="false">IF(Model!AP42=0,"",Model!AP42)</f>
        <v/>
      </c>
      <c r="AS39" s="204" t="str">
        <f aca="false">IF(Model!AQ42=0,"",Model!AQ42)</f>
        <v/>
      </c>
      <c r="AT39" s="204" t="str">
        <f aca="false">IF(Model!AR42=0,"",Model!AR42)</f>
        <v/>
      </c>
      <c r="AU39" s="204" t="str">
        <f aca="false">IF(Model!AS42=0,"",Model!AS42)</f>
        <v/>
      </c>
      <c r="AV39" s="204" t="str">
        <f aca="false">IF(Model!AT42=0,"",Model!AT42)</f>
        <v/>
      </c>
      <c r="AW39" s="204" t="str">
        <f aca="false">IF(Model!AU42=0,"",Model!AU42)</f>
        <v/>
      </c>
      <c r="AX39" s="204" t="str">
        <f aca="false">IF(Model!AV42=0,"",Model!AV42)</f>
        <v/>
      </c>
      <c r="AY39" s="204" t="str">
        <f aca="false">IF(Model!AW42=0,"",Model!AW42)</f>
        <v/>
      </c>
      <c r="AZ39" s="204" t="str">
        <f aca="false">IF(Model!AX42=0,"",Model!AX42)</f>
        <v/>
      </c>
      <c r="BA39" s="204" t="str">
        <f aca="false">IF(Model!AY42=0,"",Model!AY42)</f>
        <v/>
      </c>
      <c r="BB39" s="204" t="str">
        <f aca="false">IF(Model!AZ42=0,"",Model!AZ42)</f>
        <v/>
      </c>
      <c r="BC39" s="204" t="str">
        <f aca="false">IF(Model!BA42=0,"",Model!BA42)</f>
        <v/>
      </c>
      <c r="BD39" s="204" t="str">
        <f aca="false">IF(Model!BB42=0,"",Model!BB42)</f>
        <v/>
      </c>
      <c r="BE39" s="204" t="str">
        <f aca="false">IF(Model!BC42=0,"",Model!BC42)</f>
        <v/>
      </c>
      <c r="BF39" s="204" t="str">
        <f aca="false">IF(Model!BD42=0,"",Model!BD42)</f>
        <v/>
      </c>
      <c r="BG39" s="204" t="str">
        <f aca="false">IF(Model!BE42=0,"",Model!BE42)</f>
        <v/>
      </c>
      <c r="BH39" s="204" t="str">
        <f aca="false">IF(Model!BF42=0,"",Model!BF42)</f>
        <v/>
      </c>
      <c r="BI39" s="204" t="str">
        <f aca="false">IF(Model!BG42=0,"",Model!BG42)</f>
        <v/>
      </c>
      <c r="BJ39" s="204" t="str">
        <f aca="false">IF(Model!BH42=0,"",Model!BH42)</f>
        <v/>
      </c>
      <c r="BK39" s="204" t="str">
        <f aca="false">IF(Model!BI42=0,"",Model!BI42)</f>
        <v/>
      </c>
      <c r="BL39" s="204" t="str">
        <f aca="false">IF(Model!BJ42=0,"",Model!BJ42)</f>
        <v/>
      </c>
      <c r="BM39" s="204" t="str">
        <f aca="false">IF(Model!BK42=0,"",Model!BK42)</f>
        <v/>
      </c>
      <c r="BN39" s="204" t="str">
        <f aca="false">IF(Model!BL42=0,"",Model!BL42)</f>
        <v/>
      </c>
      <c r="BO39" s="204" t="str">
        <f aca="false">IF(Model!BM42=0,"",Model!BM42)</f>
        <v/>
      </c>
      <c r="BP39" s="204" t="str">
        <f aca="false">IF(Model!BN42=0,"",Model!BN42)</f>
        <v/>
      </c>
      <c r="BQ39" s="204" t="str">
        <f aca="false">IF(Model!BO42=0,"",Model!BO42)</f>
        <v/>
      </c>
      <c r="BR39" s="204" t="str">
        <f aca="false">IF(Model!BP42=0,"",Model!BP42)</f>
        <v/>
      </c>
      <c r="BS39" s="204" t="str">
        <f aca="false">IF(Model!BQ42=0,"",Model!BQ42)</f>
        <v/>
      </c>
      <c r="BT39" s="204" t="str">
        <f aca="false">IF(Model!BR42=0,"",Model!BR42)</f>
        <v/>
      </c>
      <c r="BU39" s="204" t="str">
        <f aca="false">IF(Model!BS42=0,"",Model!BS42)</f>
        <v/>
      </c>
      <c r="BV39" s="204" t="str">
        <f aca="false">IF(Model!BT42=0,"",Model!BT42)</f>
        <v/>
      </c>
      <c r="BW39" s="204" t="str">
        <f aca="false">IF(Model!BU42=0,"",Model!BU42)</f>
        <v/>
      </c>
      <c r="BX39" s="204" t="str">
        <f aca="false">IF(Model!BV42=0,"",Model!BV42)</f>
        <v/>
      </c>
      <c r="BY39" s="204" t="str">
        <f aca="false">IF(Model!BW42=0,"",Model!BW42)</f>
        <v/>
      </c>
      <c r="BZ39" s="204" t="str">
        <f aca="false">IF(Model!BX42=0,"",Model!BX42)</f>
        <v/>
      </c>
      <c r="CA39" s="204" t="str">
        <f aca="false">IF(Model!BY42=0,"",Model!BY42)</f>
        <v/>
      </c>
      <c r="CB39" s="204" t="str">
        <f aca="false">IF(Model!BZ42=0,"",Model!BZ42)</f>
        <v/>
      </c>
      <c r="CC39" s="204" t="str">
        <f aca="false">IF(Model!CA42=0,"",Model!CA42)</f>
        <v/>
      </c>
      <c r="CD39" s="204" t="str">
        <f aca="false">IF(Model!CB42=0,"",Model!CB42)</f>
        <v/>
      </c>
      <c r="CE39" s="204" t="str">
        <f aca="false">IF(Model!CC42=0,"",Model!CC42)</f>
        <v/>
      </c>
      <c r="CF39" s="204" t="str">
        <f aca="false">IF(Model!CD42=0,"",Model!CD42)</f>
        <v/>
      </c>
      <c r="CG39" s="204" t="str">
        <f aca="false">IF(Model!CE42=0,"",Model!CE42)</f>
        <v/>
      </c>
      <c r="CH39" s="204" t="str">
        <f aca="false">IF(Model!CF42=0,"",Model!CF42)</f>
        <v/>
      </c>
      <c r="CI39" s="204" t="str">
        <f aca="false">IF(Model!CG42=0,"",Model!CG42)</f>
        <v/>
      </c>
      <c r="CJ39" s="204" t="str">
        <f aca="false">IF(Model!CH42=0,"",Model!CH42)</f>
        <v/>
      </c>
      <c r="CK39" s="204" t="str">
        <f aca="false">IF(Model!CI42=0,"",Model!CI42)</f>
        <v/>
      </c>
      <c r="CL39" s="204" t="str">
        <f aca="false">IF(Model!CJ42=0,"",Model!CJ42)</f>
        <v/>
      </c>
      <c r="CM39" s="204" t="str">
        <f aca="false">IF(Model!CK42=0,"",Model!CK42)</f>
        <v/>
      </c>
      <c r="CN39" s="204" t="str">
        <f aca="false">IF(Model!CL42=0,"",Model!CL42)</f>
        <v/>
      </c>
      <c r="CO39" s="204" t="str">
        <f aca="false">IF(Model!CM42=0,"",Model!CM42)</f>
        <v/>
      </c>
      <c r="CP39" s="204" t="str">
        <f aca="false">IF(Model!CN42=0,"",Model!CN42)</f>
        <v/>
      </c>
      <c r="CQ39" s="204" t="str">
        <f aca="false">IF(Model!CO42=0,"",Model!CO42)</f>
        <v/>
      </c>
      <c r="CR39" s="204" t="str">
        <f aca="false">IF(Model!CP42=0,"",Model!CP42)</f>
        <v/>
      </c>
      <c r="CS39" s="204" t="str">
        <f aca="false">IF(Model!CQ42=0,"",Model!CQ42)</f>
        <v/>
      </c>
      <c r="CT39" s="204" t="str">
        <f aca="false">IF(Model!CR42=0,"",Model!CR42)</f>
        <v/>
      </c>
      <c r="CU39" s="204" t="str">
        <f aca="false">IF(Model!CS42=0,"",Model!CS42)</f>
        <v/>
      </c>
      <c r="CV39" s="204" t="str">
        <f aca="false">IF(Model!CT42=0,"",Model!CT42)</f>
        <v/>
      </c>
      <c r="CW39" s="204" t="str">
        <f aca="false">IF(Model!CU42=0,"",Model!CU42)</f>
        <v/>
      </c>
      <c r="CX39" s="204" t="str">
        <f aca="false">IF(Model!CV42=0,"",Model!CV42)</f>
        <v/>
      </c>
      <c r="CY39" s="204" t="str">
        <f aca="false">IF(Model!CW42=0,"",Model!CW42)</f>
        <v/>
      </c>
      <c r="CZ39" s="204" t="str">
        <f aca="false">IF(Model!CX42=0,"",Model!CX42)</f>
        <v/>
      </c>
      <c r="DA39" s="204" t="str">
        <f aca="false">IF(Model!CY42=0,"",Model!CY42)</f>
        <v/>
      </c>
      <c r="DB39" s="204" t="str">
        <f aca="false">IF(Model!CZ42=0,"",Model!CZ42)</f>
        <v/>
      </c>
    </row>
    <row r="40" customFormat="false" ht="15" hidden="false" customHeight="true" outlineLevel="0" collapsed="false">
      <c r="A40" s="123" t="s">
        <v>37</v>
      </c>
      <c r="B40" s="201" t="n">
        <f aca="false">Projects!$B$34</f>
        <v>18000000</v>
      </c>
      <c r="C40" s="202" t="n">
        <f aca="false">EDATE(Model!$E$2,Projects!$C$34-1)</f>
        <v>47849</v>
      </c>
      <c r="D40" s="202" t="n">
        <f aca="false">EDATE(Model!$E$2,Projects!$C$34+Projects!$D$34-2)</f>
        <v>48396</v>
      </c>
      <c r="E40" s="203" t="n">
        <f aca="false">Projects!$D$34</f>
        <v>19</v>
      </c>
      <c r="F40" s="201" t="n">
        <f aca="false">SUM(G40:DB40)</f>
        <v>0</v>
      </c>
      <c r="G40" s="204" t="str">
        <f aca="false">IF(Model!E43=0,"",Model!E43)</f>
        <v/>
      </c>
      <c r="H40" s="204" t="str">
        <f aca="false">IF(Model!F43=0,"",Model!F43)</f>
        <v/>
      </c>
      <c r="I40" s="204" t="str">
        <f aca="false">IF(Model!G43=0,"",Model!G43)</f>
        <v/>
      </c>
      <c r="J40" s="204" t="str">
        <f aca="false">IF(Model!H43=0,"",Model!H43)</f>
        <v/>
      </c>
      <c r="K40" s="204" t="str">
        <f aca="false">IF(Model!I43=0,"",Model!I43)</f>
        <v/>
      </c>
      <c r="L40" s="204" t="str">
        <f aca="false">IF(Model!J43=0,"",Model!J43)</f>
        <v/>
      </c>
      <c r="M40" s="204" t="str">
        <f aca="false">IF(Model!K43=0,"",Model!K43)</f>
        <v/>
      </c>
      <c r="N40" s="204" t="str">
        <f aca="false">IF(Model!L43=0,"",Model!L43)</f>
        <v/>
      </c>
      <c r="O40" s="204" t="str">
        <f aca="false">IF(Model!M43=0,"",Model!M43)</f>
        <v/>
      </c>
      <c r="P40" s="204" t="str">
        <f aca="false">IF(Model!N43=0,"",Model!N43)</f>
        <v/>
      </c>
      <c r="Q40" s="204" t="str">
        <f aca="false">IF(Model!O43=0,"",Model!O43)</f>
        <v/>
      </c>
      <c r="R40" s="204" t="str">
        <f aca="false">IF(Model!P43=0,"",Model!P43)</f>
        <v/>
      </c>
      <c r="S40" s="204" t="str">
        <f aca="false">IF(Model!Q43=0,"",Model!Q43)</f>
        <v/>
      </c>
      <c r="T40" s="204" t="str">
        <f aca="false">IF(Model!R43=0,"",Model!R43)</f>
        <v/>
      </c>
      <c r="U40" s="204" t="str">
        <f aca="false">IF(Model!S43=0,"",Model!S43)</f>
        <v/>
      </c>
      <c r="V40" s="204" t="str">
        <f aca="false">IF(Model!T43=0,"",Model!T43)</f>
        <v/>
      </c>
      <c r="W40" s="204" t="str">
        <f aca="false">IF(Model!U43=0,"",Model!U43)</f>
        <v/>
      </c>
      <c r="X40" s="204" t="str">
        <f aca="false">IF(Model!V43=0,"",Model!V43)</f>
        <v/>
      </c>
      <c r="Y40" s="204" t="str">
        <f aca="false">IF(Model!W43=0,"",Model!W43)</f>
        <v/>
      </c>
      <c r="Z40" s="204" t="str">
        <f aca="false">IF(Model!X43=0,"",Model!X43)</f>
        <v/>
      </c>
      <c r="AA40" s="204" t="str">
        <f aca="false">IF(Model!Y43=0,"",Model!Y43)</f>
        <v/>
      </c>
      <c r="AB40" s="204" t="str">
        <f aca="false">IF(Model!Z43=0,"",Model!Z43)</f>
        <v/>
      </c>
      <c r="AC40" s="204" t="str">
        <f aca="false">IF(Model!AA43=0,"",Model!AA43)</f>
        <v/>
      </c>
      <c r="AD40" s="204" t="str">
        <f aca="false">IF(Model!AB43=0,"",Model!AB43)</f>
        <v/>
      </c>
      <c r="AE40" s="204" t="str">
        <f aca="false">IF(Model!AC43=0,"",Model!AC43)</f>
        <v/>
      </c>
      <c r="AF40" s="204" t="str">
        <f aca="false">IF(Model!AD43=0,"",Model!AD43)</f>
        <v/>
      </c>
      <c r="AG40" s="204" t="str">
        <f aca="false">IF(Model!AE43=0,"",Model!AE43)</f>
        <v/>
      </c>
      <c r="AH40" s="204" t="str">
        <f aca="false">IF(Model!AF43=0,"",Model!AF43)</f>
        <v/>
      </c>
      <c r="AI40" s="204" t="str">
        <f aca="false">IF(Model!AG43=0,"",Model!AG43)</f>
        <v/>
      </c>
      <c r="AJ40" s="204" t="str">
        <f aca="false">IF(Model!AH43=0,"",Model!AH43)</f>
        <v/>
      </c>
      <c r="AK40" s="204" t="str">
        <f aca="false">IF(Model!AI43=0,"",Model!AI43)</f>
        <v/>
      </c>
      <c r="AL40" s="204" t="str">
        <f aca="false">IF(Model!AJ43=0,"",Model!AJ43)</f>
        <v/>
      </c>
      <c r="AM40" s="204" t="str">
        <f aca="false">IF(Model!AK43=0,"",Model!AK43)</f>
        <v/>
      </c>
      <c r="AN40" s="204" t="str">
        <f aca="false">IF(Model!AL43=0,"",Model!AL43)</f>
        <v/>
      </c>
      <c r="AO40" s="204" t="str">
        <f aca="false">IF(Model!AM43=0,"",Model!AM43)</f>
        <v/>
      </c>
      <c r="AP40" s="204" t="str">
        <f aca="false">IF(Model!AN43=0,"",Model!AN43)</f>
        <v/>
      </c>
      <c r="AQ40" s="204" t="str">
        <f aca="false">IF(Model!AO43=0,"",Model!AO43)</f>
        <v/>
      </c>
      <c r="AR40" s="204" t="str">
        <f aca="false">IF(Model!AP43=0,"",Model!AP43)</f>
        <v/>
      </c>
      <c r="AS40" s="204" t="str">
        <f aca="false">IF(Model!AQ43=0,"",Model!AQ43)</f>
        <v/>
      </c>
      <c r="AT40" s="204" t="str">
        <f aca="false">IF(Model!AR43=0,"",Model!AR43)</f>
        <v/>
      </c>
      <c r="AU40" s="204" t="str">
        <f aca="false">IF(Model!AS43=0,"",Model!AS43)</f>
        <v/>
      </c>
      <c r="AV40" s="204" t="str">
        <f aca="false">IF(Model!AT43=0,"",Model!AT43)</f>
        <v/>
      </c>
      <c r="AW40" s="204" t="str">
        <f aca="false">IF(Model!AU43=0,"",Model!AU43)</f>
        <v/>
      </c>
      <c r="AX40" s="204" t="str">
        <f aca="false">IF(Model!AV43=0,"",Model!AV43)</f>
        <v/>
      </c>
      <c r="AY40" s="204" t="str">
        <f aca="false">IF(Model!AW43=0,"",Model!AW43)</f>
        <v/>
      </c>
      <c r="AZ40" s="204" t="str">
        <f aca="false">IF(Model!AX43=0,"",Model!AX43)</f>
        <v/>
      </c>
      <c r="BA40" s="204" t="str">
        <f aca="false">IF(Model!AY43=0,"",Model!AY43)</f>
        <v/>
      </c>
      <c r="BB40" s="204" t="str">
        <f aca="false">IF(Model!AZ43=0,"",Model!AZ43)</f>
        <v/>
      </c>
      <c r="BC40" s="204" t="str">
        <f aca="false">IF(Model!BA43=0,"",Model!BA43)</f>
        <v/>
      </c>
      <c r="BD40" s="204" t="str">
        <f aca="false">IF(Model!BB43=0,"",Model!BB43)</f>
        <v/>
      </c>
      <c r="BE40" s="204" t="str">
        <f aca="false">IF(Model!BC43=0,"",Model!BC43)</f>
        <v/>
      </c>
      <c r="BF40" s="204" t="str">
        <f aca="false">IF(Model!BD43=0,"",Model!BD43)</f>
        <v/>
      </c>
      <c r="BG40" s="204" t="str">
        <f aca="false">IF(Model!BE43=0,"",Model!BE43)</f>
        <v/>
      </c>
      <c r="BH40" s="204" t="str">
        <f aca="false">IF(Model!BF43=0,"",Model!BF43)</f>
        <v/>
      </c>
      <c r="BI40" s="204" t="str">
        <f aca="false">IF(Model!BG43=0,"",Model!BG43)</f>
        <v/>
      </c>
      <c r="BJ40" s="204" t="str">
        <f aca="false">IF(Model!BH43=0,"",Model!BH43)</f>
        <v/>
      </c>
      <c r="BK40" s="204" t="str">
        <f aca="false">IF(Model!BI43=0,"",Model!BI43)</f>
        <v/>
      </c>
      <c r="BL40" s="204" t="str">
        <f aca="false">IF(Model!BJ43=0,"",Model!BJ43)</f>
        <v/>
      </c>
      <c r="BM40" s="204" t="str">
        <f aca="false">IF(Model!BK43=0,"",Model!BK43)</f>
        <v/>
      </c>
      <c r="BN40" s="204" t="str">
        <f aca="false">IF(Model!BL43=0,"",Model!BL43)</f>
        <v/>
      </c>
      <c r="BO40" s="204" t="str">
        <f aca="false">IF(Model!BM43=0,"",Model!BM43)</f>
        <v/>
      </c>
      <c r="BP40" s="204" t="str">
        <f aca="false">IF(Model!BN43=0,"",Model!BN43)</f>
        <v/>
      </c>
      <c r="BQ40" s="204" t="str">
        <f aca="false">IF(Model!BO43=0,"",Model!BO43)</f>
        <v/>
      </c>
      <c r="BR40" s="204" t="str">
        <f aca="false">IF(Model!BP43=0,"",Model!BP43)</f>
        <v/>
      </c>
      <c r="BS40" s="204" t="str">
        <f aca="false">IF(Model!BQ43=0,"",Model!BQ43)</f>
        <v/>
      </c>
      <c r="BT40" s="204" t="str">
        <f aca="false">IF(Model!BR43=0,"",Model!BR43)</f>
        <v/>
      </c>
      <c r="BU40" s="204" t="str">
        <f aca="false">IF(Model!BS43=0,"",Model!BS43)</f>
        <v/>
      </c>
      <c r="BV40" s="204" t="str">
        <f aca="false">IF(Model!BT43=0,"",Model!BT43)</f>
        <v/>
      </c>
      <c r="BW40" s="204" t="str">
        <f aca="false">IF(Model!BU43=0,"",Model!BU43)</f>
        <v/>
      </c>
      <c r="BX40" s="204" t="str">
        <f aca="false">IF(Model!BV43=0,"",Model!BV43)</f>
        <v/>
      </c>
      <c r="BY40" s="204" t="str">
        <f aca="false">IF(Model!BW43=0,"",Model!BW43)</f>
        <v/>
      </c>
      <c r="BZ40" s="204" t="str">
        <f aca="false">IF(Model!BX43=0,"",Model!BX43)</f>
        <v/>
      </c>
      <c r="CA40" s="204" t="str">
        <f aca="false">IF(Model!BY43=0,"",Model!BY43)</f>
        <v/>
      </c>
      <c r="CB40" s="204" t="str">
        <f aca="false">IF(Model!BZ43=0,"",Model!BZ43)</f>
        <v/>
      </c>
      <c r="CC40" s="204" t="str">
        <f aca="false">IF(Model!CA43=0,"",Model!CA43)</f>
        <v/>
      </c>
      <c r="CD40" s="204" t="str">
        <f aca="false">IF(Model!CB43=0,"",Model!CB43)</f>
        <v/>
      </c>
      <c r="CE40" s="204" t="str">
        <f aca="false">IF(Model!CC43=0,"",Model!CC43)</f>
        <v/>
      </c>
      <c r="CF40" s="204" t="str">
        <f aca="false">IF(Model!CD43=0,"",Model!CD43)</f>
        <v/>
      </c>
      <c r="CG40" s="204" t="str">
        <f aca="false">IF(Model!CE43=0,"",Model!CE43)</f>
        <v/>
      </c>
      <c r="CH40" s="204" t="str">
        <f aca="false">IF(Model!CF43=0,"",Model!CF43)</f>
        <v/>
      </c>
      <c r="CI40" s="204" t="str">
        <f aca="false">IF(Model!CG43=0,"",Model!CG43)</f>
        <v/>
      </c>
      <c r="CJ40" s="204" t="str">
        <f aca="false">IF(Model!CH43=0,"",Model!CH43)</f>
        <v/>
      </c>
      <c r="CK40" s="204" t="str">
        <f aca="false">IF(Model!CI43=0,"",Model!CI43)</f>
        <v/>
      </c>
      <c r="CL40" s="204" t="str">
        <f aca="false">IF(Model!CJ43=0,"",Model!CJ43)</f>
        <v/>
      </c>
      <c r="CM40" s="204" t="str">
        <f aca="false">IF(Model!CK43=0,"",Model!CK43)</f>
        <v/>
      </c>
      <c r="CN40" s="204" t="str">
        <f aca="false">IF(Model!CL43=0,"",Model!CL43)</f>
        <v/>
      </c>
      <c r="CO40" s="204" t="str">
        <f aca="false">IF(Model!CM43=0,"",Model!CM43)</f>
        <v/>
      </c>
      <c r="CP40" s="204" t="str">
        <f aca="false">IF(Model!CN43=0,"",Model!CN43)</f>
        <v/>
      </c>
      <c r="CQ40" s="204" t="str">
        <f aca="false">IF(Model!CO43=0,"",Model!CO43)</f>
        <v/>
      </c>
      <c r="CR40" s="204" t="str">
        <f aca="false">IF(Model!CP43=0,"",Model!CP43)</f>
        <v/>
      </c>
      <c r="CS40" s="204" t="str">
        <f aca="false">IF(Model!CQ43=0,"",Model!CQ43)</f>
        <v/>
      </c>
      <c r="CT40" s="204" t="str">
        <f aca="false">IF(Model!CR43=0,"",Model!CR43)</f>
        <v/>
      </c>
      <c r="CU40" s="204" t="str">
        <f aca="false">IF(Model!CS43=0,"",Model!CS43)</f>
        <v/>
      </c>
      <c r="CV40" s="204" t="str">
        <f aca="false">IF(Model!CT43=0,"",Model!CT43)</f>
        <v/>
      </c>
      <c r="CW40" s="204" t="str">
        <f aca="false">IF(Model!CU43=0,"",Model!CU43)</f>
        <v/>
      </c>
      <c r="CX40" s="204" t="str">
        <f aca="false">IF(Model!CV43=0,"",Model!CV43)</f>
        <v/>
      </c>
      <c r="CY40" s="204" t="str">
        <f aca="false">IF(Model!CW43=0,"",Model!CW43)</f>
        <v/>
      </c>
      <c r="CZ40" s="204" t="str">
        <f aca="false">IF(Model!CX43=0,"",Model!CX43)</f>
        <v/>
      </c>
      <c r="DA40" s="204" t="str">
        <f aca="false">IF(Model!CY43=0,"",Model!CY43)</f>
        <v/>
      </c>
      <c r="DB40" s="204" t="str">
        <f aca="false">IF(Model!CZ43=0,"",Model!CZ43)</f>
        <v/>
      </c>
    </row>
    <row r="41" customFormat="false" ht="15" hidden="false" customHeight="true" outlineLevel="0" collapsed="false">
      <c r="A41" s="123" t="s">
        <v>38</v>
      </c>
      <c r="B41" s="201" t="n">
        <f aca="false">Projects!$B$35</f>
        <v>15000000</v>
      </c>
      <c r="C41" s="202" t="n">
        <f aca="false">EDATE(Model!$E$2,Projects!$C$35-1)</f>
        <v>47908</v>
      </c>
      <c r="D41" s="202" t="n">
        <f aca="false">EDATE(Model!$E$2,Projects!$C$35+Projects!$D$35-2)</f>
        <v>48458</v>
      </c>
      <c r="E41" s="203" t="n">
        <f aca="false">Projects!$D$35</f>
        <v>19</v>
      </c>
      <c r="F41" s="201" t="n">
        <f aca="false">SUM(G41:DB41)</f>
        <v>0</v>
      </c>
      <c r="G41" s="204" t="str">
        <f aca="false">IF(Model!E44=0,"",Model!E44)</f>
        <v/>
      </c>
      <c r="H41" s="204" t="str">
        <f aca="false">IF(Model!F44=0,"",Model!F44)</f>
        <v/>
      </c>
      <c r="I41" s="204" t="str">
        <f aca="false">IF(Model!G44=0,"",Model!G44)</f>
        <v/>
      </c>
      <c r="J41" s="204" t="str">
        <f aca="false">IF(Model!H44=0,"",Model!H44)</f>
        <v/>
      </c>
      <c r="K41" s="204" t="str">
        <f aca="false">IF(Model!I44=0,"",Model!I44)</f>
        <v/>
      </c>
      <c r="L41" s="204" t="str">
        <f aca="false">IF(Model!J44=0,"",Model!J44)</f>
        <v/>
      </c>
      <c r="M41" s="204" t="str">
        <f aca="false">IF(Model!K44=0,"",Model!K44)</f>
        <v/>
      </c>
      <c r="N41" s="204" t="str">
        <f aca="false">IF(Model!L44=0,"",Model!L44)</f>
        <v/>
      </c>
      <c r="O41" s="204" t="str">
        <f aca="false">IF(Model!M44=0,"",Model!M44)</f>
        <v/>
      </c>
      <c r="P41" s="204" t="str">
        <f aca="false">IF(Model!N44=0,"",Model!N44)</f>
        <v/>
      </c>
      <c r="Q41" s="204" t="str">
        <f aca="false">IF(Model!O44=0,"",Model!O44)</f>
        <v/>
      </c>
      <c r="R41" s="204" t="str">
        <f aca="false">IF(Model!P44=0,"",Model!P44)</f>
        <v/>
      </c>
      <c r="S41" s="204" t="str">
        <f aca="false">IF(Model!Q44=0,"",Model!Q44)</f>
        <v/>
      </c>
      <c r="T41" s="204" t="str">
        <f aca="false">IF(Model!R44=0,"",Model!R44)</f>
        <v/>
      </c>
      <c r="U41" s="204" t="str">
        <f aca="false">IF(Model!S44=0,"",Model!S44)</f>
        <v/>
      </c>
      <c r="V41" s="204" t="str">
        <f aca="false">IF(Model!T44=0,"",Model!T44)</f>
        <v/>
      </c>
      <c r="W41" s="204" t="str">
        <f aca="false">IF(Model!U44=0,"",Model!U44)</f>
        <v/>
      </c>
      <c r="X41" s="204" t="str">
        <f aca="false">IF(Model!V44=0,"",Model!V44)</f>
        <v/>
      </c>
      <c r="Y41" s="204" t="str">
        <f aca="false">IF(Model!W44=0,"",Model!W44)</f>
        <v/>
      </c>
      <c r="Z41" s="204" t="str">
        <f aca="false">IF(Model!X44=0,"",Model!X44)</f>
        <v/>
      </c>
      <c r="AA41" s="204" t="str">
        <f aca="false">IF(Model!Y44=0,"",Model!Y44)</f>
        <v/>
      </c>
      <c r="AB41" s="204" t="str">
        <f aca="false">IF(Model!Z44=0,"",Model!Z44)</f>
        <v/>
      </c>
      <c r="AC41" s="204" t="str">
        <f aca="false">IF(Model!AA44=0,"",Model!AA44)</f>
        <v/>
      </c>
      <c r="AD41" s="204" t="str">
        <f aca="false">IF(Model!AB44=0,"",Model!AB44)</f>
        <v/>
      </c>
      <c r="AE41" s="204" t="str">
        <f aca="false">IF(Model!AC44=0,"",Model!AC44)</f>
        <v/>
      </c>
      <c r="AF41" s="204" t="str">
        <f aca="false">IF(Model!AD44=0,"",Model!AD44)</f>
        <v/>
      </c>
      <c r="AG41" s="204" t="str">
        <f aca="false">IF(Model!AE44=0,"",Model!AE44)</f>
        <v/>
      </c>
      <c r="AH41" s="204" t="str">
        <f aca="false">IF(Model!AF44=0,"",Model!AF44)</f>
        <v/>
      </c>
      <c r="AI41" s="204" t="str">
        <f aca="false">IF(Model!AG44=0,"",Model!AG44)</f>
        <v/>
      </c>
      <c r="AJ41" s="204" t="str">
        <f aca="false">IF(Model!AH44=0,"",Model!AH44)</f>
        <v/>
      </c>
      <c r="AK41" s="204" t="str">
        <f aca="false">IF(Model!AI44=0,"",Model!AI44)</f>
        <v/>
      </c>
      <c r="AL41" s="204" t="str">
        <f aca="false">IF(Model!AJ44=0,"",Model!AJ44)</f>
        <v/>
      </c>
      <c r="AM41" s="204" t="str">
        <f aca="false">IF(Model!AK44=0,"",Model!AK44)</f>
        <v/>
      </c>
      <c r="AN41" s="204" t="str">
        <f aca="false">IF(Model!AL44=0,"",Model!AL44)</f>
        <v/>
      </c>
      <c r="AO41" s="204" t="str">
        <f aca="false">IF(Model!AM44=0,"",Model!AM44)</f>
        <v/>
      </c>
      <c r="AP41" s="204" t="str">
        <f aca="false">IF(Model!AN44=0,"",Model!AN44)</f>
        <v/>
      </c>
      <c r="AQ41" s="204" t="str">
        <f aca="false">IF(Model!AO44=0,"",Model!AO44)</f>
        <v/>
      </c>
      <c r="AR41" s="204" t="str">
        <f aca="false">IF(Model!AP44=0,"",Model!AP44)</f>
        <v/>
      </c>
      <c r="AS41" s="204" t="str">
        <f aca="false">IF(Model!AQ44=0,"",Model!AQ44)</f>
        <v/>
      </c>
      <c r="AT41" s="204" t="str">
        <f aca="false">IF(Model!AR44=0,"",Model!AR44)</f>
        <v/>
      </c>
      <c r="AU41" s="204" t="str">
        <f aca="false">IF(Model!AS44=0,"",Model!AS44)</f>
        <v/>
      </c>
      <c r="AV41" s="204" t="str">
        <f aca="false">IF(Model!AT44=0,"",Model!AT44)</f>
        <v/>
      </c>
      <c r="AW41" s="204" t="str">
        <f aca="false">IF(Model!AU44=0,"",Model!AU44)</f>
        <v/>
      </c>
      <c r="AX41" s="204" t="str">
        <f aca="false">IF(Model!AV44=0,"",Model!AV44)</f>
        <v/>
      </c>
      <c r="AY41" s="204" t="str">
        <f aca="false">IF(Model!AW44=0,"",Model!AW44)</f>
        <v/>
      </c>
      <c r="AZ41" s="204" t="str">
        <f aca="false">IF(Model!AX44=0,"",Model!AX44)</f>
        <v/>
      </c>
      <c r="BA41" s="204" t="str">
        <f aca="false">IF(Model!AY44=0,"",Model!AY44)</f>
        <v/>
      </c>
      <c r="BB41" s="204" t="str">
        <f aca="false">IF(Model!AZ44=0,"",Model!AZ44)</f>
        <v/>
      </c>
      <c r="BC41" s="204" t="str">
        <f aca="false">IF(Model!BA44=0,"",Model!BA44)</f>
        <v/>
      </c>
      <c r="BD41" s="204" t="str">
        <f aca="false">IF(Model!BB44=0,"",Model!BB44)</f>
        <v/>
      </c>
      <c r="BE41" s="204" t="str">
        <f aca="false">IF(Model!BC44=0,"",Model!BC44)</f>
        <v/>
      </c>
      <c r="BF41" s="204" t="str">
        <f aca="false">IF(Model!BD44=0,"",Model!BD44)</f>
        <v/>
      </c>
      <c r="BG41" s="204" t="str">
        <f aca="false">IF(Model!BE44=0,"",Model!BE44)</f>
        <v/>
      </c>
      <c r="BH41" s="204" t="str">
        <f aca="false">IF(Model!BF44=0,"",Model!BF44)</f>
        <v/>
      </c>
      <c r="BI41" s="204" t="str">
        <f aca="false">IF(Model!BG44=0,"",Model!BG44)</f>
        <v/>
      </c>
      <c r="BJ41" s="204" t="str">
        <f aca="false">IF(Model!BH44=0,"",Model!BH44)</f>
        <v/>
      </c>
      <c r="BK41" s="204" t="str">
        <f aca="false">IF(Model!BI44=0,"",Model!BI44)</f>
        <v/>
      </c>
      <c r="BL41" s="204" t="str">
        <f aca="false">IF(Model!BJ44=0,"",Model!BJ44)</f>
        <v/>
      </c>
      <c r="BM41" s="204" t="str">
        <f aca="false">IF(Model!BK44=0,"",Model!BK44)</f>
        <v/>
      </c>
      <c r="BN41" s="204" t="str">
        <f aca="false">IF(Model!BL44=0,"",Model!BL44)</f>
        <v/>
      </c>
      <c r="BO41" s="204" t="str">
        <f aca="false">IF(Model!BM44=0,"",Model!BM44)</f>
        <v/>
      </c>
      <c r="BP41" s="204" t="str">
        <f aca="false">IF(Model!BN44=0,"",Model!BN44)</f>
        <v/>
      </c>
      <c r="BQ41" s="204" t="str">
        <f aca="false">IF(Model!BO44=0,"",Model!BO44)</f>
        <v/>
      </c>
      <c r="BR41" s="204" t="str">
        <f aca="false">IF(Model!BP44=0,"",Model!BP44)</f>
        <v/>
      </c>
      <c r="BS41" s="204" t="str">
        <f aca="false">IF(Model!BQ44=0,"",Model!BQ44)</f>
        <v/>
      </c>
      <c r="BT41" s="204" t="str">
        <f aca="false">IF(Model!BR44=0,"",Model!BR44)</f>
        <v/>
      </c>
      <c r="BU41" s="204" t="str">
        <f aca="false">IF(Model!BS44=0,"",Model!BS44)</f>
        <v/>
      </c>
      <c r="BV41" s="204" t="str">
        <f aca="false">IF(Model!BT44=0,"",Model!BT44)</f>
        <v/>
      </c>
      <c r="BW41" s="204" t="str">
        <f aca="false">IF(Model!BU44=0,"",Model!BU44)</f>
        <v/>
      </c>
      <c r="BX41" s="204" t="str">
        <f aca="false">IF(Model!BV44=0,"",Model!BV44)</f>
        <v/>
      </c>
      <c r="BY41" s="204" t="str">
        <f aca="false">IF(Model!BW44=0,"",Model!BW44)</f>
        <v/>
      </c>
      <c r="BZ41" s="204" t="str">
        <f aca="false">IF(Model!BX44=0,"",Model!BX44)</f>
        <v/>
      </c>
      <c r="CA41" s="204" t="str">
        <f aca="false">IF(Model!BY44=0,"",Model!BY44)</f>
        <v/>
      </c>
      <c r="CB41" s="204" t="str">
        <f aca="false">IF(Model!BZ44=0,"",Model!BZ44)</f>
        <v/>
      </c>
      <c r="CC41" s="204" t="str">
        <f aca="false">IF(Model!CA44=0,"",Model!CA44)</f>
        <v/>
      </c>
      <c r="CD41" s="204" t="str">
        <f aca="false">IF(Model!CB44=0,"",Model!CB44)</f>
        <v/>
      </c>
      <c r="CE41" s="204" t="str">
        <f aca="false">IF(Model!CC44=0,"",Model!CC44)</f>
        <v/>
      </c>
      <c r="CF41" s="204" t="str">
        <f aca="false">IF(Model!CD44=0,"",Model!CD44)</f>
        <v/>
      </c>
      <c r="CG41" s="204" t="str">
        <f aca="false">IF(Model!CE44=0,"",Model!CE44)</f>
        <v/>
      </c>
      <c r="CH41" s="204" t="str">
        <f aca="false">IF(Model!CF44=0,"",Model!CF44)</f>
        <v/>
      </c>
      <c r="CI41" s="204" t="str">
        <f aca="false">IF(Model!CG44=0,"",Model!CG44)</f>
        <v/>
      </c>
      <c r="CJ41" s="204" t="str">
        <f aca="false">IF(Model!CH44=0,"",Model!CH44)</f>
        <v/>
      </c>
      <c r="CK41" s="204" t="str">
        <f aca="false">IF(Model!CI44=0,"",Model!CI44)</f>
        <v/>
      </c>
      <c r="CL41" s="204" t="str">
        <f aca="false">IF(Model!CJ44=0,"",Model!CJ44)</f>
        <v/>
      </c>
      <c r="CM41" s="204" t="str">
        <f aca="false">IF(Model!CK44=0,"",Model!CK44)</f>
        <v/>
      </c>
      <c r="CN41" s="204" t="str">
        <f aca="false">IF(Model!CL44=0,"",Model!CL44)</f>
        <v/>
      </c>
      <c r="CO41" s="204" t="str">
        <f aca="false">IF(Model!CM44=0,"",Model!CM44)</f>
        <v/>
      </c>
      <c r="CP41" s="204" t="str">
        <f aca="false">IF(Model!CN44=0,"",Model!CN44)</f>
        <v/>
      </c>
      <c r="CQ41" s="204" t="str">
        <f aca="false">IF(Model!CO44=0,"",Model!CO44)</f>
        <v/>
      </c>
      <c r="CR41" s="204" t="str">
        <f aca="false">IF(Model!CP44=0,"",Model!CP44)</f>
        <v/>
      </c>
      <c r="CS41" s="204" t="str">
        <f aca="false">IF(Model!CQ44=0,"",Model!CQ44)</f>
        <v/>
      </c>
      <c r="CT41" s="204" t="str">
        <f aca="false">IF(Model!CR44=0,"",Model!CR44)</f>
        <v/>
      </c>
      <c r="CU41" s="204" t="str">
        <f aca="false">IF(Model!CS44=0,"",Model!CS44)</f>
        <v/>
      </c>
      <c r="CV41" s="204" t="str">
        <f aca="false">IF(Model!CT44=0,"",Model!CT44)</f>
        <v/>
      </c>
      <c r="CW41" s="204" t="str">
        <f aca="false">IF(Model!CU44=0,"",Model!CU44)</f>
        <v/>
      </c>
      <c r="CX41" s="204" t="str">
        <f aca="false">IF(Model!CV44=0,"",Model!CV44)</f>
        <v/>
      </c>
      <c r="CY41" s="204" t="str">
        <f aca="false">IF(Model!CW44=0,"",Model!CW44)</f>
        <v/>
      </c>
      <c r="CZ41" s="204" t="str">
        <f aca="false">IF(Model!CX44=0,"",Model!CX44)</f>
        <v/>
      </c>
      <c r="DA41" s="204" t="str">
        <f aca="false">IF(Model!CY44=0,"",Model!CY44)</f>
        <v/>
      </c>
      <c r="DB41" s="204" t="str">
        <f aca="false">IF(Model!CZ44=0,"",Model!CZ44)</f>
        <v/>
      </c>
    </row>
    <row r="42" customFormat="false" ht="15" hidden="false" customHeight="true" outlineLevel="0" collapsed="false">
      <c r="A42" s="123" t="s">
        <v>39</v>
      </c>
      <c r="B42" s="201" t="n">
        <f aca="false">Projects!$B$36</f>
        <v>18000000</v>
      </c>
      <c r="C42" s="202" t="n">
        <f aca="false">EDATE(Model!$E$2,Projects!$C$36-1)</f>
        <v>47969</v>
      </c>
      <c r="D42" s="202" t="n">
        <f aca="false">EDATE(Model!$E$2,Projects!$C$36+Projects!$D$36-2)</f>
        <v>48519</v>
      </c>
      <c r="E42" s="203" t="n">
        <f aca="false">Projects!$D$36</f>
        <v>19</v>
      </c>
      <c r="F42" s="201" t="n">
        <f aca="false">SUM(G42:DB42)</f>
        <v>0</v>
      </c>
      <c r="G42" s="204" t="str">
        <f aca="false">IF(Model!E45=0,"",Model!E45)</f>
        <v/>
      </c>
      <c r="H42" s="204" t="str">
        <f aca="false">IF(Model!F45=0,"",Model!F45)</f>
        <v/>
      </c>
      <c r="I42" s="204" t="str">
        <f aca="false">IF(Model!G45=0,"",Model!G45)</f>
        <v/>
      </c>
      <c r="J42" s="204" t="str">
        <f aca="false">IF(Model!H45=0,"",Model!H45)</f>
        <v/>
      </c>
      <c r="K42" s="204" t="str">
        <f aca="false">IF(Model!I45=0,"",Model!I45)</f>
        <v/>
      </c>
      <c r="L42" s="204" t="str">
        <f aca="false">IF(Model!J45=0,"",Model!J45)</f>
        <v/>
      </c>
      <c r="M42" s="204" t="str">
        <f aca="false">IF(Model!K45=0,"",Model!K45)</f>
        <v/>
      </c>
      <c r="N42" s="204" t="str">
        <f aca="false">IF(Model!L45=0,"",Model!L45)</f>
        <v/>
      </c>
      <c r="O42" s="204" t="str">
        <f aca="false">IF(Model!M45=0,"",Model!M45)</f>
        <v/>
      </c>
      <c r="P42" s="204" t="str">
        <f aca="false">IF(Model!N45=0,"",Model!N45)</f>
        <v/>
      </c>
      <c r="Q42" s="204" t="str">
        <f aca="false">IF(Model!O45=0,"",Model!O45)</f>
        <v/>
      </c>
      <c r="R42" s="204" t="str">
        <f aca="false">IF(Model!P45=0,"",Model!P45)</f>
        <v/>
      </c>
      <c r="S42" s="204" t="str">
        <f aca="false">IF(Model!Q45=0,"",Model!Q45)</f>
        <v/>
      </c>
      <c r="T42" s="204" t="str">
        <f aca="false">IF(Model!R45=0,"",Model!R45)</f>
        <v/>
      </c>
      <c r="U42" s="204" t="str">
        <f aca="false">IF(Model!S45=0,"",Model!S45)</f>
        <v/>
      </c>
      <c r="V42" s="204" t="str">
        <f aca="false">IF(Model!T45=0,"",Model!T45)</f>
        <v/>
      </c>
      <c r="W42" s="204" t="str">
        <f aca="false">IF(Model!U45=0,"",Model!U45)</f>
        <v/>
      </c>
      <c r="X42" s="204" t="str">
        <f aca="false">IF(Model!V45=0,"",Model!V45)</f>
        <v/>
      </c>
      <c r="Y42" s="204" t="str">
        <f aca="false">IF(Model!W45=0,"",Model!W45)</f>
        <v/>
      </c>
      <c r="Z42" s="204" t="str">
        <f aca="false">IF(Model!X45=0,"",Model!X45)</f>
        <v/>
      </c>
      <c r="AA42" s="204" t="str">
        <f aca="false">IF(Model!Y45=0,"",Model!Y45)</f>
        <v/>
      </c>
      <c r="AB42" s="204" t="str">
        <f aca="false">IF(Model!Z45=0,"",Model!Z45)</f>
        <v/>
      </c>
      <c r="AC42" s="204" t="str">
        <f aca="false">IF(Model!AA45=0,"",Model!AA45)</f>
        <v/>
      </c>
      <c r="AD42" s="204" t="str">
        <f aca="false">IF(Model!AB45=0,"",Model!AB45)</f>
        <v/>
      </c>
      <c r="AE42" s="204" t="str">
        <f aca="false">IF(Model!AC45=0,"",Model!AC45)</f>
        <v/>
      </c>
      <c r="AF42" s="204" t="str">
        <f aca="false">IF(Model!AD45=0,"",Model!AD45)</f>
        <v/>
      </c>
      <c r="AG42" s="204" t="str">
        <f aca="false">IF(Model!AE45=0,"",Model!AE45)</f>
        <v/>
      </c>
      <c r="AH42" s="204" t="str">
        <f aca="false">IF(Model!AF45=0,"",Model!AF45)</f>
        <v/>
      </c>
      <c r="AI42" s="204" t="str">
        <f aca="false">IF(Model!AG45=0,"",Model!AG45)</f>
        <v/>
      </c>
      <c r="AJ42" s="204" t="str">
        <f aca="false">IF(Model!AH45=0,"",Model!AH45)</f>
        <v/>
      </c>
      <c r="AK42" s="204" t="str">
        <f aca="false">IF(Model!AI45=0,"",Model!AI45)</f>
        <v/>
      </c>
      <c r="AL42" s="204" t="str">
        <f aca="false">IF(Model!AJ45=0,"",Model!AJ45)</f>
        <v/>
      </c>
      <c r="AM42" s="204" t="str">
        <f aca="false">IF(Model!AK45=0,"",Model!AK45)</f>
        <v/>
      </c>
      <c r="AN42" s="204" t="str">
        <f aca="false">IF(Model!AL45=0,"",Model!AL45)</f>
        <v/>
      </c>
      <c r="AO42" s="204" t="str">
        <f aca="false">IF(Model!AM45=0,"",Model!AM45)</f>
        <v/>
      </c>
      <c r="AP42" s="204" t="str">
        <f aca="false">IF(Model!AN45=0,"",Model!AN45)</f>
        <v/>
      </c>
      <c r="AQ42" s="204" t="str">
        <f aca="false">IF(Model!AO45=0,"",Model!AO45)</f>
        <v/>
      </c>
      <c r="AR42" s="204" t="str">
        <f aca="false">IF(Model!AP45=0,"",Model!AP45)</f>
        <v/>
      </c>
      <c r="AS42" s="204" t="str">
        <f aca="false">IF(Model!AQ45=0,"",Model!AQ45)</f>
        <v/>
      </c>
      <c r="AT42" s="204" t="str">
        <f aca="false">IF(Model!AR45=0,"",Model!AR45)</f>
        <v/>
      </c>
      <c r="AU42" s="204" t="str">
        <f aca="false">IF(Model!AS45=0,"",Model!AS45)</f>
        <v/>
      </c>
      <c r="AV42" s="204" t="str">
        <f aca="false">IF(Model!AT45=0,"",Model!AT45)</f>
        <v/>
      </c>
      <c r="AW42" s="204" t="str">
        <f aca="false">IF(Model!AU45=0,"",Model!AU45)</f>
        <v/>
      </c>
      <c r="AX42" s="204" t="str">
        <f aca="false">IF(Model!AV45=0,"",Model!AV45)</f>
        <v/>
      </c>
      <c r="AY42" s="204" t="str">
        <f aca="false">IF(Model!AW45=0,"",Model!AW45)</f>
        <v/>
      </c>
      <c r="AZ42" s="204" t="str">
        <f aca="false">IF(Model!AX45=0,"",Model!AX45)</f>
        <v/>
      </c>
      <c r="BA42" s="204" t="str">
        <f aca="false">IF(Model!AY45=0,"",Model!AY45)</f>
        <v/>
      </c>
      <c r="BB42" s="204" t="str">
        <f aca="false">IF(Model!AZ45=0,"",Model!AZ45)</f>
        <v/>
      </c>
      <c r="BC42" s="204" t="str">
        <f aca="false">IF(Model!BA45=0,"",Model!BA45)</f>
        <v/>
      </c>
      <c r="BD42" s="204" t="str">
        <f aca="false">IF(Model!BB45=0,"",Model!BB45)</f>
        <v/>
      </c>
      <c r="BE42" s="204" t="str">
        <f aca="false">IF(Model!BC45=0,"",Model!BC45)</f>
        <v/>
      </c>
      <c r="BF42" s="204" t="str">
        <f aca="false">IF(Model!BD45=0,"",Model!BD45)</f>
        <v/>
      </c>
      <c r="BG42" s="204" t="str">
        <f aca="false">IF(Model!BE45=0,"",Model!BE45)</f>
        <v/>
      </c>
      <c r="BH42" s="204" t="str">
        <f aca="false">IF(Model!BF45=0,"",Model!BF45)</f>
        <v/>
      </c>
      <c r="BI42" s="204" t="str">
        <f aca="false">IF(Model!BG45=0,"",Model!BG45)</f>
        <v/>
      </c>
      <c r="BJ42" s="204" t="str">
        <f aca="false">IF(Model!BH45=0,"",Model!BH45)</f>
        <v/>
      </c>
      <c r="BK42" s="204" t="str">
        <f aca="false">IF(Model!BI45=0,"",Model!BI45)</f>
        <v/>
      </c>
      <c r="BL42" s="204" t="str">
        <f aca="false">IF(Model!BJ45=0,"",Model!BJ45)</f>
        <v/>
      </c>
      <c r="BM42" s="204" t="str">
        <f aca="false">IF(Model!BK45=0,"",Model!BK45)</f>
        <v/>
      </c>
      <c r="BN42" s="204" t="str">
        <f aca="false">IF(Model!BL45=0,"",Model!BL45)</f>
        <v/>
      </c>
      <c r="BO42" s="204" t="str">
        <f aca="false">IF(Model!BM45=0,"",Model!BM45)</f>
        <v/>
      </c>
      <c r="BP42" s="204" t="str">
        <f aca="false">IF(Model!BN45=0,"",Model!BN45)</f>
        <v/>
      </c>
      <c r="BQ42" s="204" t="str">
        <f aca="false">IF(Model!BO45=0,"",Model!BO45)</f>
        <v/>
      </c>
      <c r="BR42" s="204" t="str">
        <f aca="false">IF(Model!BP45=0,"",Model!BP45)</f>
        <v/>
      </c>
      <c r="BS42" s="204" t="str">
        <f aca="false">IF(Model!BQ45=0,"",Model!BQ45)</f>
        <v/>
      </c>
      <c r="BT42" s="204" t="str">
        <f aca="false">IF(Model!BR45=0,"",Model!BR45)</f>
        <v/>
      </c>
      <c r="BU42" s="204" t="str">
        <f aca="false">IF(Model!BS45=0,"",Model!BS45)</f>
        <v/>
      </c>
      <c r="BV42" s="204" t="str">
        <f aca="false">IF(Model!BT45=0,"",Model!BT45)</f>
        <v/>
      </c>
      <c r="BW42" s="204" t="str">
        <f aca="false">IF(Model!BU45=0,"",Model!BU45)</f>
        <v/>
      </c>
      <c r="BX42" s="204" t="str">
        <f aca="false">IF(Model!BV45=0,"",Model!BV45)</f>
        <v/>
      </c>
      <c r="BY42" s="204" t="str">
        <f aca="false">IF(Model!BW45=0,"",Model!BW45)</f>
        <v/>
      </c>
      <c r="BZ42" s="204" t="str">
        <f aca="false">IF(Model!BX45=0,"",Model!BX45)</f>
        <v/>
      </c>
      <c r="CA42" s="204" t="str">
        <f aca="false">IF(Model!BY45=0,"",Model!BY45)</f>
        <v/>
      </c>
      <c r="CB42" s="204" t="str">
        <f aca="false">IF(Model!BZ45=0,"",Model!BZ45)</f>
        <v/>
      </c>
      <c r="CC42" s="204" t="str">
        <f aca="false">IF(Model!CA45=0,"",Model!CA45)</f>
        <v/>
      </c>
      <c r="CD42" s="204" t="str">
        <f aca="false">IF(Model!CB45=0,"",Model!CB45)</f>
        <v/>
      </c>
      <c r="CE42" s="204" t="str">
        <f aca="false">IF(Model!CC45=0,"",Model!CC45)</f>
        <v/>
      </c>
      <c r="CF42" s="204" t="str">
        <f aca="false">IF(Model!CD45=0,"",Model!CD45)</f>
        <v/>
      </c>
      <c r="CG42" s="204" t="str">
        <f aca="false">IF(Model!CE45=0,"",Model!CE45)</f>
        <v/>
      </c>
      <c r="CH42" s="204" t="str">
        <f aca="false">IF(Model!CF45=0,"",Model!CF45)</f>
        <v/>
      </c>
      <c r="CI42" s="204" t="str">
        <f aca="false">IF(Model!CG45=0,"",Model!CG45)</f>
        <v/>
      </c>
      <c r="CJ42" s="204" t="str">
        <f aca="false">IF(Model!CH45=0,"",Model!CH45)</f>
        <v/>
      </c>
      <c r="CK42" s="204" t="str">
        <f aca="false">IF(Model!CI45=0,"",Model!CI45)</f>
        <v/>
      </c>
      <c r="CL42" s="204" t="str">
        <f aca="false">IF(Model!CJ45=0,"",Model!CJ45)</f>
        <v/>
      </c>
      <c r="CM42" s="204" t="str">
        <f aca="false">IF(Model!CK45=0,"",Model!CK45)</f>
        <v/>
      </c>
      <c r="CN42" s="204" t="str">
        <f aca="false">IF(Model!CL45=0,"",Model!CL45)</f>
        <v/>
      </c>
      <c r="CO42" s="204" t="str">
        <f aca="false">IF(Model!CM45=0,"",Model!CM45)</f>
        <v/>
      </c>
      <c r="CP42" s="204" t="str">
        <f aca="false">IF(Model!CN45=0,"",Model!CN45)</f>
        <v/>
      </c>
      <c r="CQ42" s="204" t="str">
        <f aca="false">IF(Model!CO45=0,"",Model!CO45)</f>
        <v/>
      </c>
      <c r="CR42" s="204" t="str">
        <f aca="false">IF(Model!CP45=0,"",Model!CP45)</f>
        <v/>
      </c>
      <c r="CS42" s="204" t="str">
        <f aca="false">IF(Model!CQ45=0,"",Model!CQ45)</f>
        <v/>
      </c>
      <c r="CT42" s="204" t="str">
        <f aca="false">IF(Model!CR45=0,"",Model!CR45)</f>
        <v/>
      </c>
      <c r="CU42" s="204" t="str">
        <f aca="false">IF(Model!CS45=0,"",Model!CS45)</f>
        <v/>
      </c>
      <c r="CV42" s="204" t="str">
        <f aca="false">IF(Model!CT45=0,"",Model!CT45)</f>
        <v/>
      </c>
      <c r="CW42" s="204" t="str">
        <f aca="false">IF(Model!CU45=0,"",Model!CU45)</f>
        <v/>
      </c>
      <c r="CX42" s="204" t="str">
        <f aca="false">IF(Model!CV45=0,"",Model!CV45)</f>
        <v/>
      </c>
      <c r="CY42" s="204" t="str">
        <f aca="false">IF(Model!CW45=0,"",Model!CW45)</f>
        <v/>
      </c>
      <c r="CZ42" s="204" t="str">
        <f aca="false">IF(Model!CX45=0,"",Model!CX45)</f>
        <v/>
      </c>
      <c r="DA42" s="204" t="str">
        <f aca="false">IF(Model!CY45=0,"",Model!CY45)</f>
        <v/>
      </c>
      <c r="DB42" s="204" t="str">
        <f aca="false">IF(Model!CZ45=0,"",Model!CZ45)</f>
        <v/>
      </c>
    </row>
    <row r="43" customFormat="false" ht="15" hidden="false" customHeight="true" outlineLevel="0" collapsed="false">
      <c r="A43" s="123" t="s">
        <v>40</v>
      </c>
      <c r="B43" s="201" t="n">
        <f aca="false">Projects!$B$37</f>
        <v>15000000</v>
      </c>
      <c r="C43" s="202" t="n">
        <f aca="false">EDATE(Model!$E$2,Projects!$C$37-1)</f>
        <v>48030</v>
      </c>
      <c r="D43" s="202" t="n">
        <f aca="false">EDATE(Model!$E$2,Projects!$C$37+Projects!$D$37-2)</f>
        <v>48580</v>
      </c>
      <c r="E43" s="203" t="n">
        <f aca="false">Projects!$D$37</f>
        <v>19</v>
      </c>
      <c r="F43" s="201" t="n">
        <f aca="false">SUM(G43:DB43)</f>
        <v>0</v>
      </c>
      <c r="G43" s="204" t="str">
        <f aca="false">IF(Model!E46=0,"",Model!E46)</f>
        <v/>
      </c>
      <c r="H43" s="204" t="str">
        <f aca="false">IF(Model!F46=0,"",Model!F46)</f>
        <v/>
      </c>
      <c r="I43" s="204" t="str">
        <f aca="false">IF(Model!G46=0,"",Model!G46)</f>
        <v/>
      </c>
      <c r="J43" s="204" t="str">
        <f aca="false">IF(Model!H46=0,"",Model!H46)</f>
        <v/>
      </c>
      <c r="K43" s="204" t="str">
        <f aca="false">IF(Model!I46=0,"",Model!I46)</f>
        <v/>
      </c>
      <c r="L43" s="204" t="str">
        <f aca="false">IF(Model!J46=0,"",Model!J46)</f>
        <v/>
      </c>
      <c r="M43" s="204" t="str">
        <f aca="false">IF(Model!K46=0,"",Model!K46)</f>
        <v/>
      </c>
      <c r="N43" s="204" t="str">
        <f aca="false">IF(Model!L46=0,"",Model!L46)</f>
        <v/>
      </c>
      <c r="O43" s="204" t="str">
        <f aca="false">IF(Model!M46=0,"",Model!M46)</f>
        <v/>
      </c>
      <c r="P43" s="204" t="str">
        <f aca="false">IF(Model!N46=0,"",Model!N46)</f>
        <v/>
      </c>
      <c r="Q43" s="204" t="str">
        <f aca="false">IF(Model!O46=0,"",Model!O46)</f>
        <v/>
      </c>
      <c r="R43" s="204" t="str">
        <f aca="false">IF(Model!P46=0,"",Model!P46)</f>
        <v/>
      </c>
      <c r="S43" s="204" t="str">
        <f aca="false">IF(Model!Q46=0,"",Model!Q46)</f>
        <v/>
      </c>
      <c r="T43" s="204" t="str">
        <f aca="false">IF(Model!R46=0,"",Model!R46)</f>
        <v/>
      </c>
      <c r="U43" s="204" t="str">
        <f aca="false">IF(Model!S46=0,"",Model!S46)</f>
        <v/>
      </c>
      <c r="V43" s="204" t="str">
        <f aca="false">IF(Model!T46=0,"",Model!T46)</f>
        <v/>
      </c>
      <c r="W43" s="204" t="str">
        <f aca="false">IF(Model!U46=0,"",Model!U46)</f>
        <v/>
      </c>
      <c r="X43" s="204" t="str">
        <f aca="false">IF(Model!V46=0,"",Model!V46)</f>
        <v/>
      </c>
      <c r="Y43" s="204" t="str">
        <f aca="false">IF(Model!W46=0,"",Model!W46)</f>
        <v/>
      </c>
      <c r="Z43" s="204" t="str">
        <f aca="false">IF(Model!X46=0,"",Model!X46)</f>
        <v/>
      </c>
      <c r="AA43" s="204" t="str">
        <f aca="false">IF(Model!Y46=0,"",Model!Y46)</f>
        <v/>
      </c>
      <c r="AB43" s="204" t="str">
        <f aca="false">IF(Model!Z46=0,"",Model!Z46)</f>
        <v/>
      </c>
      <c r="AC43" s="204" t="str">
        <f aca="false">IF(Model!AA46=0,"",Model!AA46)</f>
        <v/>
      </c>
      <c r="AD43" s="204" t="str">
        <f aca="false">IF(Model!AB46=0,"",Model!AB46)</f>
        <v/>
      </c>
      <c r="AE43" s="204" t="str">
        <f aca="false">IF(Model!AC46=0,"",Model!AC46)</f>
        <v/>
      </c>
      <c r="AF43" s="204" t="str">
        <f aca="false">IF(Model!AD46=0,"",Model!AD46)</f>
        <v/>
      </c>
      <c r="AG43" s="204" t="str">
        <f aca="false">IF(Model!AE46=0,"",Model!AE46)</f>
        <v/>
      </c>
      <c r="AH43" s="204" t="str">
        <f aca="false">IF(Model!AF46=0,"",Model!AF46)</f>
        <v/>
      </c>
      <c r="AI43" s="204" t="str">
        <f aca="false">IF(Model!AG46=0,"",Model!AG46)</f>
        <v/>
      </c>
      <c r="AJ43" s="204" t="str">
        <f aca="false">IF(Model!AH46=0,"",Model!AH46)</f>
        <v/>
      </c>
      <c r="AK43" s="204" t="str">
        <f aca="false">IF(Model!AI46=0,"",Model!AI46)</f>
        <v/>
      </c>
      <c r="AL43" s="204" t="str">
        <f aca="false">IF(Model!AJ46=0,"",Model!AJ46)</f>
        <v/>
      </c>
      <c r="AM43" s="204" t="str">
        <f aca="false">IF(Model!AK46=0,"",Model!AK46)</f>
        <v/>
      </c>
      <c r="AN43" s="204" t="str">
        <f aca="false">IF(Model!AL46=0,"",Model!AL46)</f>
        <v/>
      </c>
      <c r="AO43" s="204" t="str">
        <f aca="false">IF(Model!AM46=0,"",Model!AM46)</f>
        <v/>
      </c>
      <c r="AP43" s="204" t="str">
        <f aca="false">IF(Model!AN46=0,"",Model!AN46)</f>
        <v/>
      </c>
      <c r="AQ43" s="204" t="str">
        <f aca="false">IF(Model!AO46=0,"",Model!AO46)</f>
        <v/>
      </c>
      <c r="AR43" s="204" t="str">
        <f aca="false">IF(Model!AP46=0,"",Model!AP46)</f>
        <v/>
      </c>
      <c r="AS43" s="204" t="str">
        <f aca="false">IF(Model!AQ46=0,"",Model!AQ46)</f>
        <v/>
      </c>
      <c r="AT43" s="204" t="str">
        <f aca="false">IF(Model!AR46=0,"",Model!AR46)</f>
        <v/>
      </c>
      <c r="AU43" s="204" t="str">
        <f aca="false">IF(Model!AS46=0,"",Model!AS46)</f>
        <v/>
      </c>
      <c r="AV43" s="204" t="str">
        <f aca="false">IF(Model!AT46=0,"",Model!AT46)</f>
        <v/>
      </c>
      <c r="AW43" s="204" t="str">
        <f aca="false">IF(Model!AU46=0,"",Model!AU46)</f>
        <v/>
      </c>
      <c r="AX43" s="204" t="str">
        <f aca="false">IF(Model!AV46=0,"",Model!AV46)</f>
        <v/>
      </c>
      <c r="AY43" s="204" t="str">
        <f aca="false">IF(Model!AW46=0,"",Model!AW46)</f>
        <v/>
      </c>
      <c r="AZ43" s="204" t="str">
        <f aca="false">IF(Model!AX46=0,"",Model!AX46)</f>
        <v/>
      </c>
      <c r="BA43" s="204" t="str">
        <f aca="false">IF(Model!AY46=0,"",Model!AY46)</f>
        <v/>
      </c>
      <c r="BB43" s="204" t="str">
        <f aca="false">IF(Model!AZ46=0,"",Model!AZ46)</f>
        <v/>
      </c>
      <c r="BC43" s="204" t="str">
        <f aca="false">IF(Model!BA46=0,"",Model!BA46)</f>
        <v/>
      </c>
      <c r="BD43" s="204" t="str">
        <f aca="false">IF(Model!BB46=0,"",Model!BB46)</f>
        <v/>
      </c>
      <c r="BE43" s="204" t="str">
        <f aca="false">IF(Model!BC46=0,"",Model!BC46)</f>
        <v/>
      </c>
      <c r="BF43" s="204" t="str">
        <f aca="false">IF(Model!BD46=0,"",Model!BD46)</f>
        <v/>
      </c>
      <c r="BG43" s="204" t="str">
        <f aca="false">IF(Model!BE46=0,"",Model!BE46)</f>
        <v/>
      </c>
      <c r="BH43" s="204" t="str">
        <f aca="false">IF(Model!BF46=0,"",Model!BF46)</f>
        <v/>
      </c>
      <c r="BI43" s="204" t="str">
        <f aca="false">IF(Model!BG46=0,"",Model!BG46)</f>
        <v/>
      </c>
      <c r="BJ43" s="204" t="str">
        <f aca="false">IF(Model!BH46=0,"",Model!BH46)</f>
        <v/>
      </c>
      <c r="BK43" s="204" t="str">
        <f aca="false">IF(Model!BI46=0,"",Model!BI46)</f>
        <v/>
      </c>
      <c r="BL43" s="204" t="str">
        <f aca="false">IF(Model!BJ46=0,"",Model!BJ46)</f>
        <v/>
      </c>
      <c r="BM43" s="204" t="str">
        <f aca="false">IF(Model!BK46=0,"",Model!BK46)</f>
        <v/>
      </c>
      <c r="BN43" s="204" t="str">
        <f aca="false">IF(Model!BL46=0,"",Model!BL46)</f>
        <v/>
      </c>
      <c r="BO43" s="204" t="str">
        <f aca="false">IF(Model!BM46=0,"",Model!BM46)</f>
        <v/>
      </c>
      <c r="BP43" s="204" t="str">
        <f aca="false">IF(Model!BN46=0,"",Model!BN46)</f>
        <v/>
      </c>
      <c r="BQ43" s="204" t="str">
        <f aca="false">IF(Model!BO46=0,"",Model!BO46)</f>
        <v/>
      </c>
      <c r="BR43" s="204" t="str">
        <f aca="false">IF(Model!BP46=0,"",Model!BP46)</f>
        <v/>
      </c>
      <c r="BS43" s="204" t="str">
        <f aca="false">IF(Model!BQ46=0,"",Model!BQ46)</f>
        <v/>
      </c>
      <c r="BT43" s="204" t="str">
        <f aca="false">IF(Model!BR46=0,"",Model!BR46)</f>
        <v/>
      </c>
      <c r="BU43" s="204" t="str">
        <f aca="false">IF(Model!BS46=0,"",Model!BS46)</f>
        <v/>
      </c>
      <c r="BV43" s="204" t="str">
        <f aca="false">IF(Model!BT46=0,"",Model!BT46)</f>
        <v/>
      </c>
      <c r="BW43" s="204" t="str">
        <f aca="false">IF(Model!BU46=0,"",Model!BU46)</f>
        <v/>
      </c>
      <c r="BX43" s="204" t="str">
        <f aca="false">IF(Model!BV46=0,"",Model!BV46)</f>
        <v/>
      </c>
      <c r="BY43" s="204" t="str">
        <f aca="false">IF(Model!BW46=0,"",Model!BW46)</f>
        <v/>
      </c>
      <c r="BZ43" s="204" t="str">
        <f aca="false">IF(Model!BX46=0,"",Model!BX46)</f>
        <v/>
      </c>
      <c r="CA43" s="204" t="str">
        <f aca="false">IF(Model!BY46=0,"",Model!BY46)</f>
        <v/>
      </c>
      <c r="CB43" s="204" t="str">
        <f aca="false">IF(Model!BZ46=0,"",Model!BZ46)</f>
        <v/>
      </c>
      <c r="CC43" s="204" t="str">
        <f aca="false">IF(Model!CA46=0,"",Model!CA46)</f>
        <v/>
      </c>
      <c r="CD43" s="204" t="str">
        <f aca="false">IF(Model!CB46=0,"",Model!CB46)</f>
        <v/>
      </c>
      <c r="CE43" s="204" t="str">
        <f aca="false">IF(Model!CC46=0,"",Model!CC46)</f>
        <v/>
      </c>
      <c r="CF43" s="204" t="str">
        <f aca="false">IF(Model!CD46=0,"",Model!CD46)</f>
        <v/>
      </c>
      <c r="CG43" s="204" t="str">
        <f aca="false">IF(Model!CE46=0,"",Model!CE46)</f>
        <v/>
      </c>
      <c r="CH43" s="204" t="str">
        <f aca="false">IF(Model!CF46=0,"",Model!CF46)</f>
        <v/>
      </c>
      <c r="CI43" s="204" t="str">
        <f aca="false">IF(Model!CG46=0,"",Model!CG46)</f>
        <v/>
      </c>
      <c r="CJ43" s="204" t="str">
        <f aca="false">IF(Model!CH46=0,"",Model!CH46)</f>
        <v/>
      </c>
      <c r="CK43" s="204" t="str">
        <f aca="false">IF(Model!CI46=0,"",Model!CI46)</f>
        <v/>
      </c>
      <c r="CL43" s="204" t="str">
        <f aca="false">IF(Model!CJ46=0,"",Model!CJ46)</f>
        <v/>
      </c>
      <c r="CM43" s="204" t="str">
        <f aca="false">IF(Model!CK46=0,"",Model!CK46)</f>
        <v/>
      </c>
      <c r="CN43" s="204" t="str">
        <f aca="false">IF(Model!CL46=0,"",Model!CL46)</f>
        <v/>
      </c>
      <c r="CO43" s="204" t="str">
        <f aca="false">IF(Model!CM46=0,"",Model!CM46)</f>
        <v/>
      </c>
      <c r="CP43" s="204" t="str">
        <f aca="false">IF(Model!CN46=0,"",Model!CN46)</f>
        <v/>
      </c>
      <c r="CQ43" s="204" t="str">
        <f aca="false">IF(Model!CO46=0,"",Model!CO46)</f>
        <v/>
      </c>
      <c r="CR43" s="204" t="str">
        <f aca="false">IF(Model!CP46=0,"",Model!CP46)</f>
        <v/>
      </c>
      <c r="CS43" s="204" t="str">
        <f aca="false">IF(Model!CQ46=0,"",Model!CQ46)</f>
        <v/>
      </c>
      <c r="CT43" s="204" t="str">
        <f aca="false">IF(Model!CR46=0,"",Model!CR46)</f>
        <v/>
      </c>
      <c r="CU43" s="204" t="str">
        <f aca="false">IF(Model!CS46=0,"",Model!CS46)</f>
        <v/>
      </c>
      <c r="CV43" s="204" t="str">
        <f aca="false">IF(Model!CT46=0,"",Model!CT46)</f>
        <v/>
      </c>
      <c r="CW43" s="204" t="str">
        <f aca="false">IF(Model!CU46=0,"",Model!CU46)</f>
        <v/>
      </c>
      <c r="CX43" s="204" t="str">
        <f aca="false">IF(Model!CV46=0,"",Model!CV46)</f>
        <v/>
      </c>
      <c r="CY43" s="204" t="str">
        <f aca="false">IF(Model!CW46=0,"",Model!CW46)</f>
        <v/>
      </c>
      <c r="CZ43" s="204" t="str">
        <f aca="false">IF(Model!CX46=0,"",Model!CX46)</f>
        <v/>
      </c>
      <c r="DA43" s="204" t="str">
        <f aca="false">IF(Model!CY46=0,"",Model!CY46)</f>
        <v/>
      </c>
      <c r="DB43" s="204" t="str">
        <f aca="false">IF(Model!CZ46=0,"",Model!CZ46)</f>
        <v/>
      </c>
    </row>
    <row r="44" customFormat="false" ht="15" hidden="false" customHeight="true" outlineLevel="0" collapsed="false">
      <c r="A44" s="123" t="s">
        <v>41</v>
      </c>
      <c r="B44" s="201" t="n">
        <f aca="false">Projects!$B$38</f>
        <v>15000000</v>
      </c>
      <c r="C44" s="202" t="n">
        <f aca="false">EDATE(Model!$E$2,Projects!$C$38-1)</f>
        <v>48092</v>
      </c>
      <c r="D44" s="202" t="n">
        <f aca="false">EDATE(Model!$E$2,Projects!$C$38+Projects!$D$38-2)</f>
        <v>48639</v>
      </c>
      <c r="E44" s="203" t="n">
        <f aca="false">Projects!$D$38</f>
        <v>19</v>
      </c>
      <c r="F44" s="201" t="n">
        <f aca="false">SUM(G44:DB44)</f>
        <v>0</v>
      </c>
      <c r="G44" s="204" t="str">
        <f aca="false">IF(Model!E47=0,"",Model!E47)</f>
        <v/>
      </c>
      <c r="H44" s="204" t="str">
        <f aca="false">IF(Model!F47=0,"",Model!F47)</f>
        <v/>
      </c>
      <c r="I44" s="204" t="str">
        <f aca="false">IF(Model!G47=0,"",Model!G47)</f>
        <v/>
      </c>
      <c r="J44" s="204" t="str">
        <f aca="false">IF(Model!H47=0,"",Model!H47)</f>
        <v/>
      </c>
      <c r="K44" s="204" t="str">
        <f aca="false">IF(Model!I47=0,"",Model!I47)</f>
        <v/>
      </c>
      <c r="L44" s="204" t="str">
        <f aca="false">IF(Model!J47=0,"",Model!J47)</f>
        <v/>
      </c>
      <c r="M44" s="204" t="str">
        <f aca="false">IF(Model!K47=0,"",Model!K47)</f>
        <v/>
      </c>
      <c r="N44" s="204" t="str">
        <f aca="false">IF(Model!L47=0,"",Model!L47)</f>
        <v/>
      </c>
      <c r="O44" s="204" t="str">
        <f aca="false">IF(Model!M47=0,"",Model!M47)</f>
        <v/>
      </c>
      <c r="P44" s="204" t="str">
        <f aca="false">IF(Model!N47=0,"",Model!N47)</f>
        <v/>
      </c>
      <c r="Q44" s="204" t="str">
        <f aca="false">IF(Model!O47=0,"",Model!O47)</f>
        <v/>
      </c>
      <c r="R44" s="204" t="str">
        <f aca="false">IF(Model!P47=0,"",Model!P47)</f>
        <v/>
      </c>
      <c r="S44" s="204" t="str">
        <f aca="false">IF(Model!Q47=0,"",Model!Q47)</f>
        <v/>
      </c>
      <c r="T44" s="204" t="str">
        <f aca="false">IF(Model!R47=0,"",Model!R47)</f>
        <v/>
      </c>
      <c r="U44" s="204" t="str">
        <f aca="false">IF(Model!S47=0,"",Model!S47)</f>
        <v/>
      </c>
      <c r="V44" s="204" t="str">
        <f aca="false">IF(Model!T47=0,"",Model!T47)</f>
        <v/>
      </c>
      <c r="W44" s="204" t="str">
        <f aca="false">IF(Model!U47=0,"",Model!U47)</f>
        <v/>
      </c>
      <c r="X44" s="204" t="str">
        <f aca="false">IF(Model!V47=0,"",Model!V47)</f>
        <v/>
      </c>
      <c r="Y44" s="204" t="str">
        <f aca="false">IF(Model!W47=0,"",Model!W47)</f>
        <v/>
      </c>
      <c r="Z44" s="204" t="str">
        <f aca="false">IF(Model!X47=0,"",Model!X47)</f>
        <v/>
      </c>
      <c r="AA44" s="204" t="str">
        <f aca="false">IF(Model!Y47=0,"",Model!Y47)</f>
        <v/>
      </c>
      <c r="AB44" s="204" t="str">
        <f aca="false">IF(Model!Z47=0,"",Model!Z47)</f>
        <v/>
      </c>
      <c r="AC44" s="204" t="str">
        <f aca="false">IF(Model!AA47=0,"",Model!AA47)</f>
        <v/>
      </c>
      <c r="AD44" s="204" t="str">
        <f aca="false">IF(Model!AB47=0,"",Model!AB47)</f>
        <v/>
      </c>
      <c r="AE44" s="204" t="str">
        <f aca="false">IF(Model!AC47=0,"",Model!AC47)</f>
        <v/>
      </c>
      <c r="AF44" s="204" t="str">
        <f aca="false">IF(Model!AD47=0,"",Model!AD47)</f>
        <v/>
      </c>
      <c r="AG44" s="204" t="str">
        <f aca="false">IF(Model!AE47=0,"",Model!AE47)</f>
        <v/>
      </c>
      <c r="AH44" s="204" t="str">
        <f aca="false">IF(Model!AF47=0,"",Model!AF47)</f>
        <v/>
      </c>
      <c r="AI44" s="204" t="str">
        <f aca="false">IF(Model!AG47=0,"",Model!AG47)</f>
        <v/>
      </c>
      <c r="AJ44" s="204" t="str">
        <f aca="false">IF(Model!AH47=0,"",Model!AH47)</f>
        <v/>
      </c>
      <c r="AK44" s="204" t="str">
        <f aca="false">IF(Model!AI47=0,"",Model!AI47)</f>
        <v/>
      </c>
      <c r="AL44" s="204" t="str">
        <f aca="false">IF(Model!AJ47=0,"",Model!AJ47)</f>
        <v/>
      </c>
      <c r="AM44" s="204" t="str">
        <f aca="false">IF(Model!AK47=0,"",Model!AK47)</f>
        <v/>
      </c>
      <c r="AN44" s="204" t="str">
        <f aca="false">IF(Model!AL47=0,"",Model!AL47)</f>
        <v/>
      </c>
      <c r="AO44" s="204" t="str">
        <f aca="false">IF(Model!AM47=0,"",Model!AM47)</f>
        <v/>
      </c>
      <c r="AP44" s="204" t="str">
        <f aca="false">IF(Model!AN47=0,"",Model!AN47)</f>
        <v/>
      </c>
      <c r="AQ44" s="204" t="str">
        <f aca="false">IF(Model!AO47=0,"",Model!AO47)</f>
        <v/>
      </c>
      <c r="AR44" s="204" t="str">
        <f aca="false">IF(Model!AP47=0,"",Model!AP47)</f>
        <v/>
      </c>
      <c r="AS44" s="204" t="str">
        <f aca="false">IF(Model!AQ47=0,"",Model!AQ47)</f>
        <v/>
      </c>
      <c r="AT44" s="204" t="str">
        <f aca="false">IF(Model!AR47=0,"",Model!AR47)</f>
        <v/>
      </c>
      <c r="AU44" s="204" t="str">
        <f aca="false">IF(Model!AS47=0,"",Model!AS47)</f>
        <v/>
      </c>
      <c r="AV44" s="204" t="str">
        <f aca="false">IF(Model!AT47=0,"",Model!AT47)</f>
        <v/>
      </c>
      <c r="AW44" s="204" t="str">
        <f aca="false">IF(Model!AU47=0,"",Model!AU47)</f>
        <v/>
      </c>
      <c r="AX44" s="204" t="str">
        <f aca="false">IF(Model!AV47=0,"",Model!AV47)</f>
        <v/>
      </c>
      <c r="AY44" s="204" t="str">
        <f aca="false">IF(Model!AW47=0,"",Model!AW47)</f>
        <v/>
      </c>
      <c r="AZ44" s="204" t="str">
        <f aca="false">IF(Model!AX47=0,"",Model!AX47)</f>
        <v/>
      </c>
      <c r="BA44" s="204" t="str">
        <f aca="false">IF(Model!AY47=0,"",Model!AY47)</f>
        <v/>
      </c>
      <c r="BB44" s="204" t="str">
        <f aca="false">IF(Model!AZ47=0,"",Model!AZ47)</f>
        <v/>
      </c>
      <c r="BC44" s="204" t="str">
        <f aca="false">IF(Model!BA47=0,"",Model!BA47)</f>
        <v/>
      </c>
      <c r="BD44" s="204" t="str">
        <f aca="false">IF(Model!BB47=0,"",Model!BB47)</f>
        <v/>
      </c>
      <c r="BE44" s="204" t="str">
        <f aca="false">IF(Model!BC47=0,"",Model!BC47)</f>
        <v/>
      </c>
      <c r="BF44" s="204" t="str">
        <f aca="false">IF(Model!BD47=0,"",Model!BD47)</f>
        <v/>
      </c>
      <c r="BG44" s="204" t="str">
        <f aca="false">IF(Model!BE47=0,"",Model!BE47)</f>
        <v/>
      </c>
      <c r="BH44" s="204" t="str">
        <f aca="false">IF(Model!BF47=0,"",Model!BF47)</f>
        <v/>
      </c>
      <c r="BI44" s="204" t="str">
        <f aca="false">IF(Model!BG47=0,"",Model!BG47)</f>
        <v/>
      </c>
      <c r="BJ44" s="204" t="str">
        <f aca="false">IF(Model!BH47=0,"",Model!BH47)</f>
        <v/>
      </c>
      <c r="BK44" s="204" t="str">
        <f aca="false">IF(Model!BI47=0,"",Model!BI47)</f>
        <v/>
      </c>
      <c r="BL44" s="204" t="str">
        <f aca="false">IF(Model!BJ47=0,"",Model!BJ47)</f>
        <v/>
      </c>
      <c r="BM44" s="204" t="str">
        <f aca="false">IF(Model!BK47=0,"",Model!BK47)</f>
        <v/>
      </c>
      <c r="BN44" s="204" t="str">
        <f aca="false">IF(Model!BL47=0,"",Model!BL47)</f>
        <v/>
      </c>
      <c r="BO44" s="204" t="str">
        <f aca="false">IF(Model!BM47=0,"",Model!BM47)</f>
        <v/>
      </c>
      <c r="BP44" s="204" t="str">
        <f aca="false">IF(Model!BN47=0,"",Model!BN47)</f>
        <v/>
      </c>
      <c r="BQ44" s="204" t="str">
        <f aca="false">IF(Model!BO47=0,"",Model!BO47)</f>
        <v/>
      </c>
      <c r="BR44" s="204" t="str">
        <f aca="false">IF(Model!BP47=0,"",Model!BP47)</f>
        <v/>
      </c>
      <c r="BS44" s="204" t="str">
        <f aca="false">IF(Model!BQ47=0,"",Model!BQ47)</f>
        <v/>
      </c>
      <c r="BT44" s="204" t="str">
        <f aca="false">IF(Model!BR47=0,"",Model!BR47)</f>
        <v/>
      </c>
      <c r="BU44" s="204" t="str">
        <f aca="false">IF(Model!BS47=0,"",Model!BS47)</f>
        <v/>
      </c>
      <c r="BV44" s="204" t="str">
        <f aca="false">IF(Model!BT47=0,"",Model!BT47)</f>
        <v/>
      </c>
      <c r="BW44" s="204" t="str">
        <f aca="false">IF(Model!BU47=0,"",Model!BU47)</f>
        <v/>
      </c>
      <c r="BX44" s="204" t="str">
        <f aca="false">IF(Model!BV47=0,"",Model!BV47)</f>
        <v/>
      </c>
      <c r="BY44" s="204" t="str">
        <f aca="false">IF(Model!BW47=0,"",Model!BW47)</f>
        <v/>
      </c>
      <c r="BZ44" s="204" t="str">
        <f aca="false">IF(Model!BX47=0,"",Model!BX47)</f>
        <v/>
      </c>
      <c r="CA44" s="204" t="str">
        <f aca="false">IF(Model!BY47=0,"",Model!BY47)</f>
        <v/>
      </c>
      <c r="CB44" s="204" t="str">
        <f aca="false">IF(Model!BZ47=0,"",Model!BZ47)</f>
        <v/>
      </c>
      <c r="CC44" s="204" t="str">
        <f aca="false">IF(Model!CA47=0,"",Model!CA47)</f>
        <v/>
      </c>
      <c r="CD44" s="204" t="str">
        <f aca="false">IF(Model!CB47=0,"",Model!CB47)</f>
        <v/>
      </c>
      <c r="CE44" s="204" t="str">
        <f aca="false">IF(Model!CC47=0,"",Model!CC47)</f>
        <v/>
      </c>
      <c r="CF44" s="204" t="str">
        <f aca="false">IF(Model!CD47=0,"",Model!CD47)</f>
        <v/>
      </c>
      <c r="CG44" s="204" t="str">
        <f aca="false">IF(Model!CE47=0,"",Model!CE47)</f>
        <v/>
      </c>
      <c r="CH44" s="204" t="str">
        <f aca="false">IF(Model!CF47=0,"",Model!CF47)</f>
        <v/>
      </c>
      <c r="CI44" s="204" t="str">
        <f aca="false">IF(Model!CG47=0,"",Model!CG47)</f>
        <v/>
      </c>
      <c r="CJ44" s="204" t="str">
        <f aca="false">IF(Model!CH47=0,"",Model!CH47)</f>
        <v/>
      </c>
      <c r="CK44" s="204" t="str">
        <f aca="false">IF(Model!CI47=0,"",Model!CI47)</f>
        <v/>
      </c>
      <c r="CL44" s="204" t="str">
        <f aca="false">IF(Model!CJ47=0,"",Model!CJ47)</f>
        <v/>
      </c>
      <c r="CM44" s="204" t="str">
        <f aca="false">IF(Model!CK47=0,"",Model!CK47)</f>
        <v/>
      </c>
      <c r="CN44" s="204" t="str">
        <f aca="false">IF(Model!CL47=0,"",Model!CL47)</f>
        <v/>
      </c>
      <c r="CO44" s="204" t="str">
        <f aca="false">IF(Model!CM47=0,"",Model!CM47)</f>
        <v/>
      </c>
      <c r="CP44" s="204" t="str">
        <f aca="false">IF(Model!CN47=0,"",Model!CN47)</f>
        <v/>
      </c>
      <c r="CQ44" s="204" t="str">
        <f aca="false">IF(Model!CO47=0,"",Model!CO47)</f>
        <v/>
      </c>
      <c r="CR44" s="204" t="str">
        <f aca="false">IF(Model!CP47=0,"",Model!CP47)</f>
        <v/>
      </c>
      <c r="CS44" s="204" t="str">
        <f aca="false">IF(Model!CQ47=0,"",Model!CQ47)</f>
        <v/>
      </c>
      <c r="CT44" s="204" t="str">
        <f aca="false">IF(Model!CR47=0,"",Model!CR47)</f>
        <v/>
      </c>
      <c r="CU44" s="204" t="str">
        <f aca="false">IF(Model!CS47=0,"",Model!CS47)</f>
        <v/>
      </c>
      <c r="CV44" s="204" t="str">
        <f aca="false">IF(Model!CT47=0,"",Model!CT47)</f>
        <v/>
      </c>
      <c r="CW44" s="204" t="str">
        <f aca="false">IF(Model!CU47=0,"",Model!CU47)</f>
        <v/>
      </c>
      <c r="CX44" s="204" t="str">
        <f aca="false">IF(Model!CV47=0,"",Model!CV47)</f>
        <v/>
      </c>
      <c r="CY44" s="204" t="str">
        <f aca="false">IF(Model!CW47=0,"",Model!CW47)</f>
        <v/>
      </c>
      <c r="CZ44" s="204" t="str">
        <f aca="false">IF(Model!CX47=0,"",Model!CX47)</f>
        <v/>
      </c>
      <c r="DA44" s="204" t="str">
        <f aca="false">IF(Model!CY47=0,"",Model!CY47)</f>
        <v/>
      </c>
      <c r="DB44" s="204" t="str">
        <f aca="false">IF(Model!CZ47=0,"",Model!CZ47)</f>
        <v/>
      </c>
    </row>
    <row r="45" customFormat="false" ht="15" hidden="false" customHeight="true" outlineLevel="0" collapsed="false">
      <c r="A45" s="123" t="s">
        <v>42</v>
      </c>
      <c r="B45" s="201" t="n">
        <f aca="false">Projects!$B$39</f>
        <v>18000000</v>
      </c>
      <c r="C45" s="202" t="n">
        <f aca="false">EDATE(Model!$E$2,Projects!$C$39-1)</f>
        <v>48153</v>
      </c>
      <c r="D45" s="202" t="n">
        <f aca="false">EDATE(Model!$E$2,Projects!$C$39+Projects!$D$39-2)</f>
        <v>48700</v>
      </c>
      <c r="E45" s="203" t="n">
        <f aca="false">Projects!$D$39</f>
        <v>19</v>
      </c>
      <c r="F45" s="201" t="n">
        <f aca="false">SUM(G45:DB45)</f>
        <v>0</v>
      </c>
      <c r="G45" s="204" t="str">
        <f aca="false">IF(Model!E48=0,"",Model!E48)</f>
        <v/>
      </c>
      <c r="H45" s="204" t="str">
        <f aca="false">IF(Model!F48=0,"",Model!F48)</f>
        <v/>
      </c>
      <c r="I45" s="204" t="str">
        <f aca="false">IF(Model!G48=0,"",Model!G48)</f>
        <v/>
      </c>
      <c r="J45" s="204" t="str">
        <f aca="false">IF(Model!H48=0,"",Model!H48)</f>
        <v/>
      </c>
      <c r="K45" s="204" t="str">
        <f aca="false">IF(Model!I48=0,"",Model!I48)</f>
        <v/>
      </c>
      <c r="L45" s="204" t="str">
        <f aca="false">IF(Model!J48=0,"",Model!J48)</f>
        <v/>
      </c>
      <c r="M45" s="204" t="str">
        <f aca="false">IF(Model!K48=0,"",Model!K48)</f>
        <v/>
      </c>
      <c r="N45" s="204" t="str">
        <f aca="false">IF(Model!L48=0,"",Model!L48)</f>
        <v/>
      </c>
      <c r="O45" s="204" t="str">
        <f aca="false">IF(Model!M48=0,"",Model!M48)</f>
        <v/>
      </c>
      <c r="P45" s="204" t="str">
        <f aca="false">IF(Model!N48=0,"",Model!N48)</f>
        <v/>
      </c>
      <c r="Q45" s="204" t="str">
        <f aca="false">IF(Model!O48=0,"",Model!O48)</f>
        <v/>
      </c>
      <c r="R45" s="204" t="str">
        <f aca="false">IF(Model!P48=0,"",Model!P48)</f>
        <v/>
      </c>
      <c r="S45" s="204" t="str">
        <f aca="false">IF(Model!Q48=0,"",Model!Q48)</f>
        <v/>
      </c>
      <c r="T45" s="204" t="str">
        <f aca="false">IF(Model!R48=0,"",Model!R48)</f>
        <v/>
      </c>
      <c r="U45" s="204" t="str">
        <f aca="false">IF(Model!S48=0,"",Model!S48)</f>
        <v/>
      </c>
      <c r="V45" s="204" t="str">
        <f aca="false">IF(Model!T48=0,"",Model!T48)</f>
        <v/>
      </c>
      <c r="W45" s="204" t="str">
        <f aca="false">IF(Model!U48=0,"",Model!U48)</f>
        <v/>
      </c>
      <c r="X45" s="204" t="str">
        <f aca="false">IF(Model!V48=0,"",Model!V48)</f>
        <v/>
      </c>
      <c r="Y45" s="204" t="str">
        <f aca="false">IF(Model!W48=0,"",Model!W48)</f>
        <v/>
      </c>
      <c r="Z45" s="204" t="str">
        <f aca="false">IF(Model!X48=0,"",Model!X48)</f>
        <v/>
      </c>
      <c r="AA45" s="204" t="str">
        <f aca="false">IF(Model!Y48=0,"",Model!Y48)</f>
        <v/>
      </c>
      <c r="AB45" s="204" t="str">
        <f aca="false">IF(Model!Z48=0,"",Model!Z48)</f>
        <v/>
      </c>
      <c r="AC45" s="204" t="str">
        <f aca="false">IF(Model!AA48=0,"",Model!AA48)</f>
        <v/>
      </c>
      <c r="AD45" s="204" t="str">
        <f aca="false">IF(Model!AB48=0,"",Model!AB48)</f>
        <v/>
      </c>
      <c r="AE45" s="204" t="str">
        <f aca="false">IF(Model!AC48=0,"",Model!AC48)</f>
        <v/>
      </c>
      <c r="AF45" s="204" t="str">
        <f aca="false">IF(Model!AD48=0,"",Model!AD48)</f>
        <v/>
      </c>
      <c r="AG45" s="204" t="str">
        <f aca="false">IF(Model!AE48=0,"",Model!AE48)</f>
        <v/>
      </c>
      <c r="AH45" s="204" t="str">
        <f aca="false">IF(Model!AF48=0,"",Model!AF48)</f>
        <v/>
      </c>
      <c r="AI45" s="204" t="str">
        <f aca="false">IF(Model!AG48=0,"",Model!AG48)</f>
        <v/>
      </c>
      <c r="AJ45" s="204" t="str">
        <f aca="false">IF(Model!AH48=0,"",Model!AH48)</f>
        <v/>
      </c>
      <c r="AK45" s="204" t="str">
        <f aca="false">IF(Model!AI48=0,"",Model!AI48)</f>
        <v/>
      </c>
      <c r="AL45" s="204" t="str">
        <f aca="false">IF(Model!AJ48=0,"",Model!AJ48)</f>
        <v/>
      </c>
      <c r="AM45" s="204" t="str">
        <f aca="false">IF(Model!AK48=0,"",Model!AK48)</f>
        <v/>
      </c>
      <c r="AN45" s="204" t="str">
        <f aca="false">IF(Model!AL48=0,"",Model!AL48)</f>
        <v/>
      </c>
      <c r="AO45" s="204" t="str">
        <f aca="false">IF(Model!AM48=0,"",Model!AM48)</f>
        <v/>
      </c>
      <c r="AP45" s="204" t="str">
        <f aca="false">IF(Model!AN48=0,"",Model!AN48)</f>
        <v/>
      </c>
      <c r="AQ45" s="204" t="str">
        <f aca="false">IF(Model!AO48=0,"",Model!AO48)</f>
        <v/>
      </c>
      <c r="AR45" s="204" t="str">
        <f aca="false">IF(Model!AP48=0,"",Model!AP48)</f>
        <v/>
      </c>
      <c r="AS45" s="204" t="str">
        <f aca="false">IF(Model!AQ48=0,"",Model!AQ48)</f>
        <v/>
      </c>
      <c r="AT45" s="204" t="str">
        <f aca="false">IF(Model!AR48=0,"",Model!AR48)</f>
        <v/>
      </c>
      <c r="AU45" s="204" t="str">
        <f aca="false">IF(Model!AS48=0,"",Model!AS48)</f>
        <v/>
      </c>
      <c r="AV45" s="204" t="str">
        <f aca="false">IF(Model!AT48=0,"",Model!AT48)</f>
        <v/>
      </c>
      <c r="AW45" s="204" t="str">
        <f aca="false">IF(Model!AU48=0,"",Model!AU48)</f>
        <v/>
      </c>
      <c r="AX45" s="204" t="str">
        <f aca="false">IF(Model!AV48=0,"",Model!AV48)</f>
        <v/>
      </c>
      <c r="AY45" s="204" t="str">
        <f aca="false">IF(Model!AW48=0,"",Model!AW48)</f>
        <v/>
      </c>
      <c r="AZ45" s="204" t="str">
        <f aca="false">IF(Model!AX48=0,"",Model!AX48)</f>
        <v/>
      </c>
      <c r="BA45" s="204" t="str">
        <f aca="false">IF(Model!AY48=0,"",Model!AY48)</f>
        <v/>
      </c>
      <c r="BB45" s="204" t="str">
        <f aca="false">IF(Model!AZ48=0,"",Model!AZ48)</f>
        <v/>
      </c>
      <c r="BC45" s="204" t="str">
        <f aca="false">IF(Model!BA48=0,"",Model!BA48)</f>
        <v/>
      </c>
      <c r="BD45" s="204" t="str">
        <f aca="false">IF(Model!BB48=0,"",Model!BB48)</f>
        <v/>
      </c>
      <c r="BE45" s="204" t="str">
        <f aca="false">IF(Model!BC48=0,"",Model!BC48)</f>
        <v/>
      </c>
      <c r="BF45" s="204" t="str">
        <f aca="false">IF(Model!BD48=0,"",Model!BD48)</f>
        <v/>
      </c>
      <c r="BG45" s="204" t="str">
        <f aca="false">IF(Model!BE48=0,"",Model!BE48)</f>
        <v/>
      </c>
      <c r="BH45" s="204" t="str">
        <f aca="false">IF(Model!BF48=0,"",Model!BF48)</f>
        <v/>
      </c>
      <c r="BI45" s="204" t="str">
        <f aca="false">IF(Model!BG48=0,"",Model!BG48)</f>
        <v/>
      </c>
      <c r="BJ45" s="204" t="str">
        <f aca="false">IF(Model!BH48=0,"",Model!BH48)</f>
        <v/>
      </c>
      <c r="BK45" s="204" t="str">
        <f aca="false">IF(Model!BI48=0,"",Model!BI48)</f>
        <v/>
      </c>
      <c r="BL45" s="204" t="str">
        <f aca="false">IF(Model!BJ48=0,"",Model!BJ48)</f>
        <v/>
      </c>
      <c r="BM45" s="204" t="str">
        <f aca="false">IF(Model!BK48=0,"",Model!BK48)</f>
        <v/>
      </c>
      <c r="BN45" s="204" t="str">
        <f aca="false">IF(Model!BL48=0,"",Model!BL48)</f>
        <v/>
      </c>
      <c r="BO45" s="204" t="str">
        <f aca="false">IF(Model!BM48=0,"",Model!BM48)</f>
        <v/>
      </c>
      <c r="BP45" s="204" t="str">
        <f aca="false">IF(Model!BN48=0,"",Model!BN48)</f>
        <v/>
      </c>
      <c r="BQ45" s="204" t="str">
        <f aca="false">IF(Model!BO48=0,"",Model!BO48)</f>
        <v/>
      </c>
      <c r="BR45" s="204" t="str">
        <f aca="false">IF(Model!BP48=0,"",Model!BP48)</f>
        <v/>
      </c>
      <c r="BS45" s="204" t="str">
        <f aca="false">IF(Model!BQ48=0,"",Model!BQ48)</f>
        <v/>
      </c>
      <c r="BT45" s="204" t="str">
        <f aca="false">IF(Model!BR48=0,"",Model!BR48)</f>
        <v/>
      </c>
      <c r="BU45" s="204" t="str">
        <f aca="false">IF(Model!BS48=0,"",Model!BS48)</f>
        <v/>
      </c>
      <c r="BV45" s="204" t="str">
        <f aca="false">IF(Model!BT48=0,"",Model!BT48)</f>
        <v/>
      </c>
      <c r="BW45" s="204" t="str">
        <f aca="false">IF(Model!BU48=0,"",Model!BU48)</f>
        <v/>
      </c>
      <c r="BX45" s="204" t="str">
        <f aca="false">IF(Model!BV48=0,"",Model!BV48)</f>
        <v/>
      </c>
      <c r="BY45" s="204" t="str">
        <f aca="false">IF(Model!BW48=0,"",Model!BW48)</f>
        <v/>
      </c>
      <c r="BZ45" s="204" t="str">
        <f aca="false">IF(Model!BX48=0,"",Model!BX48)</f>
        <v/>
      </c>
      <c r="CA45" s="204" t="str">
        <f aca="false">IF(Model!BY48=0,"",Model!BY48)</f>
        <v/>
      </c>
      <c r="CB45" s="204" t="str">
        <f aca="false">IF(Model!BZ48=0,"",Model!BZ48)</f>
        <v/>
      </c>
      <c r="CC45" s="204" t="str">
        <f aca="false">IF(Model!CA48=0,"",Model!CA48)</f>
        <v/>
      </c>
      <c r="CD45" s="204" t="str">
        <f aca="false">IF(Model!CB48=0,"",Model!CB48)</f>
        <v/>
      </c>
      <c r="CE45" s="204" t="str">
        <f aca="false">IF(Model!CC48=0,"",Model!CC48)</f>
        <v/>
      </c>
      <c r="CF45" s="204" t="str">
        <f aca="false">IF(Model!CD48=0,"",Model!CD48)</f>
        <v/>
      </c>
      <c r="CG45" s="204" t="str">
        <f aca="false">IF(Model!CE48=0,"",Model!CE48)</f>
        <v/>
      </c>
      <c r="CH45" s="204" t="str">
        <f aca="false">IF(Model!CF48=0,"",Model!CF48)</f>
        <v/>
      </c>
      <c r="CI45" s="204" t="str">
        <f aca="false">IF(Model!CG48=0,"",Model!CG48)</f>
        <v/>
      </c>
      <c r="CJ45" s="204" t="str">
        <f aca="false">IF(Model!CH48=0,"",Model!CH48)</f>
        <v/>
      </c>
      <c r="CK45" s="204" t="str">
        <f aca="false">IF(Model!CI48=0,"",Model!CI48)</f>
        <v/>
      </c>
      <c r="CL45" s="204" t="str">
        <f aca="false">IF(Model!CJ48=0,"",Model!CJ48)</f>
        <v/>
      </c>
      <c r="CM45" s="204" t="str">
        <f aca="false">IF(Model!CK48=0,"",Model!CK48)</f>
        <v/>
      </c>
      <c r="CN45" s="204" t="str">
        <f aca="false">IF(Model!CL48=0,"",Model!CL48)</f>
        <v/>
      </c>
      <c r="CO45" s="204" t="str">
        <f aca="false">IF(Model!CM48=0,"",Model!CM48)</f>
        <v/>
      </c>
      <c r="CP45" s="204" t="str">
        <f aca="false">IF(Model!CN48=0,"",Model!CN48)</f>
        <v/>
      </c>
      <c r="CQ45" s="204" t="str">
        <f aca="false">IF(Model!CO48=0,"",Model!CO48)</f>
        <v/>
      </c>
      <c r="CR45" s="204" t="str">
        <f aca="false">IF(Model!CP48=0,"",Model!CP48)</f>
        <v/>
      </c>
      <c r="CS45" s="204" t="str">
        <f aca="false">IF(Model!CQ48=0,"",Model!CQ48)</f>
        <v/>
      </c>
      <c r="CT45" s="204" t="str">
        <f aca="false">IF(Model!CR48=0,"",Model!CR48)</f>
        <v/>
      </c>
      <c r="CU45" s="204" t="str">
        <f aca="false">IF(Model!CS48=0,"",Model!CS48)</f>
        <v/>
      </c>
      <c r="CV45" s="204" t="str">
        <f aca="false">IF(Model!CT48=0,"",Model!CT48)</f>
        <v/>
      </c>
      <c r="CW45" s="204" t="str">
        <f aca="false">IF(Model!CU48=0,"",Model!CU48)</f>
        <v/>
      </c>
      <c r="CX45" s="204" t="str">
        <f aca="false">IF(Model!CV48=0,"",Model!CV48)</f>
        <v/>
      </c>
      <c r="CY45" s="204" t="str">
        <f aca="false">IF(Model!CW48=0,"",Model!CW48)</f>
        <v/>
      </c>
      <c r="CZ45" s="204" t="str">
        <f aca="false">IF(Model!CX48=0,"",Model!CX48)</f>
        <v/>
      </c>
      <c r="DA45" s="204" t="str">
        <f aca="false">IF(Model!CY48=0,"",Model!CY48)</f>
        <v/>
      </c>
      <c r="DB45" s="204" t="str">
        <f aca="false">IF(Model!CZ48=0,"",Model!CZ48)</f>
        <v/>
      </c>
    </row>
    <row r="46" customFormat="false" ht="15" hidden="false" customHeight="true" outlineLevel="0" collapsed="false">
      <c r="A46" s="123" t="s">
        <v>43</v>
      </c>
      <c r="B46" s="201" t="n">
        <f aca="false">Projects!$B$40</f>
        <v>15000000</v>
      </c>
      <c r="C46" s="202" t="n">
        <f aca="false">EDATE(Model!$E$2,Projects!$C$40-1)</f>
        <v>48214</v>
      </c>
      <c r="D46" s="202" t="n">
        <f aca="false">EDATE(Model!$E$2,Projects!$C$40+Projects!$D$40-2)</f>
        <v>48761</v>
      </c>
      <c r="E46" s="203" t="n">
        <f aca="false">Projects!$D$40</f>
        <v>19</v>
      </c>
      <c r="F46" s="201" t="n">
        <f aca="false">SUM(G46:DB46)</f>
        <v>0</v>
      </c>
      <c r="G46" s="204" t="str">
        <f aca="false">IF(Model!E49=0,"",Model!E49)</f>
        <v/>
      </c>
      <c r="H46" s="204" t="str">
        <f aca="false">IF(Model!F49=0,"",Model!F49)</f>
        <v/>
      </c>
      <c r="I46" s="204" t="str">
        <f aca="false">IF(Model!G49=0,"",Model!G49)</f>
        <v/>
      </c>
      <c r="J46" s="204" t="str">
        <f aca="false">IF(Model!H49=0,"",Model!H49)</f>
        <v/>
      </c>
      <c r="K46" s="204" t="str">
        <f aca="false">IF(Model!I49=0,"",Model!I49)</f>
        <v/>
      </c>
      <c r="L46" s="204" t="str">
        <f aca="false">IF(Model!J49=0,"",Model!J49)</f>
        <v/>
      </c>
      <c r="M46" s="204" t="str">
        <f aca="false">IF(Model!K49=0,"",Model!K49)</f>
        <v/>
      </c>
      <c r="N46" s="204" t="str">
        <f aca="false">IF(Model!L49=0,"",Model!L49)</f>
        <v/>
      </c>
      <c r="O46" s="204" t="str">
        <f aca="false">IF(Model!M49=0,"",Model!M49)</f>
        <v/>
      </c>
      <c r="P46" s="204" t="str">
        <f aca="false">IF(Model!N49=0,"",Model!N49)</f>
        <v/>
      </c>
      <c r="Q46" s="204" t="str">
        <f aca="false">IF(Model!O49=0,"",Model!O49)</f>
        <v/>
      </c>
      <c r="R46" s="204" t="str">
        <f aca="false">IF(Model!P49=0,"",Model!P49)</f>
        <v/>
      </c>
      <c r="S46" s="204" t="str">
        <f aca="false">IF(Model!Q49=0,"",Model!Q49)</f>
        <v/>
      </c>
      <c r="T46" s="204" t="str">
        <f aca="false">IF(Model!R49=0,"",Model!R49)</f>
        <v/>
      </c>
      <c r="U46" s="204" t="str">
        <f aca="false">IF(Model!S49=0,"",Model!S49)</f>
        <v/>
      </c>
      <c r="V46" s="204" t="str">
        <f aca="false">IF(Model!T49=0,"",Model!T49)</f>
        <v/>
      </c>
      <c r="W46" s="204" t="str">
        <f aca="false">IF(Model!U49=0,"",Model!U49)</f>
        <v/>
      </c>
      <c r="X46" s="204" t="str">
        <f aca="false">IF(Model!V49=0,"",Model!V49)</f>
        <v/>
      </c>
      <c r="Y46" s="204" t="str">
        <f aca="false">IF(Model!W49=0,"",Model!W49)</f>
        <v/>
      </c>
      <c r="Z46" s="204" t="str">
        <f aca="false">IF(Model!X49=0,"",Model!X49)</f>
        <v/>
      </c>
      <c r="AA46" s="204" t="str">
        <f aca="false">IF(Model!Y49=0,"",Model!Y49)</f>
        <v/>
      </c>
      <c r="AB46" s="204" t="str">
        <f aca="false">IF(Model!Z49=0,"",Model!Z49)</f>
        <v/>
      </c>
      <c r="AC46" s="204" t="str">
        <f aca="false">IF(Model!AA49=0,"",Model!AA49)</f>
        <v/>
      </c>
      <c r="AD46" s="204" t="str">
        <f aca="false">IF(Model!AB49=0,"",Model!AB49)</f>
        <v/>
      </c>
      <c r="AE46" s="204" t="str">
        <f aca="false">IF(Model!AC49=0,"",Model!AC49)</f>
        <v/>
      </c>
      <c r="AF46" s="204" t="str">
        <f aca="false">IF(Model!AD49=0,"",Model!AD49)</f>
        <v/>
      </c>
      <c r="AG46" s="204" t="str">
        <f aca="false">IF(Model!AE49=0,"",Model!AE49)</f>
        <v/>
      </c>
      <c r="AH46" s="204" t="str">
        <f aca="false">IF(Model!AF49=0,"",Model!AF49)</f>
        <v/>
      </c>
      <c r="AI46" s="204" t="str">
        <f aca="false">IF(Model!AG49=0,"",Model!AG49)</f>
        <v/>
      </c>
      <c r="AJ46" s="204" t="str">
        <f aca="false">IF(Model!AH49=0,"",Model!AH49)</f>
        <v/>
      </c>
      <c r="AK46" s="204" t="str">
        <f aca="false">IF(Model!AI49=0,"",Model!AI49)</f>
        <v/>
      </c>
      <c r="AL46" s="204" t="str">
        <f aca="false">IF(Model!AJ49=0,"",Model!AJ49)</f>
        <v/>
      </c>
      <c r="AM46" s="204" t="str">
        <f aca="false">IF(Model!AK49=0,"",Model!AK49)</f>
        <v/>
      </c>
      <c r="AN46" s="204" t="str">
        <f aca="false">IF(Model!AL49=0,"",Model!AL49)</f>
        <v/>
      </c>
      <c r="AO46" s="204" t="str">
        <f aca="false">IF(Model!AM49=0,"",Model!AM49)</f>
        <v/>
      </c>
      <c r="AP46" s="204" t="str">
        <f aca="false">IF(Model!AN49=0,"",Model!AN49)</f>
        <v/>
      </c>
      <c r="AQ46" s="204" t="str">
        <f aca="false">IF(Model!AO49=0,"",Model!AO49)</f>
        <v/>
      </c>
      <c r="AR46" s="204" t="str">
        <f aca="false">IF(Model!AP49=0,"",Model!AP49)</f>
        <v/>
      </c>
      <c r="AS46" s="204" t="str">
        <f aca="false">IF(Model!AQ49=0,"",Model!AQ49)</f>
        <v/>
      </c>
      <c r="AT46" s="204" t="str">
        <f aca="false">IF(Model!AR49=0,"",Model!AR49)</f>
        <v/>
      </c>
      <c r="AU46" s="204" t="str">
        <f aca="false">IF(Model!AS49=0,"",Model!AS49)</f>
        <v/>
      </c>
      <c r="AV46" s="204" t="str">
        <f aca="false">IF(Model!AT49=0,"",Model!AT49)</f>
        <v/>
      </c>
      <c r="AW46" s="204" t="str">
        <f aca="false">IF(Model!AU49=0,"",Model!AU49)</f>
        <v/>
      </c>
      <c r="AX46" s="204" t="str">
        <f aca="false">IF(Model!AV49=0,"",Model!AV49)</f>
        <v/>
      </c>
      <c r="AY46" s="204" t="str">
        <f aca="false">IF(Model!AW49=0,"",Model!AW49)</f>
        <v/>
      </c>
      <c r="AZ46" s="204" t="str">
        <f aca="false">IF(Model!AX49=0,"",Model!AX49)</f>
        <v/>
      </c>
      <c r="BA46" s="204" t="str">
        <f aca="false">IF(Model!AY49=0,"",Model!AY49)</f>
        <v/>
      </c>
      <c r="BB46" s="204" t="str">
        <f aca="false">IF(Model!AZ49=0,"",Model!AZ49)</f>
        <v/>
      </c>
      <c r="BC46" s="204" t="str">
        <f aca="false">IF(Model!BA49=0,"",Model!BA49)</f>
        <v/>
      </c>
      <c r="BD46" s="204" t="str">
        <f aca="false">IF(Model!BB49=0,"",Model!BB49)</f>
        <v/>
      </c>
      <c r="BE46" s="204" t="str">
        <f aca="false">IF(Model!BC49=0,"",Model!BC49)</f>
        <v/>
      </c>
      <c r="BF46" s="204" t="str">
        <f aca="false">IF(Model!BD49=0,"",Model!BD49)</f>
        <v/>
      </c>
      <c r="BG46" s="204" t="str">
        <f aca="false">IF(Model!BE49=0,"",Model!BE49)</f>
        <v/>
      </c>
      <c r="BH46" s="204" t="str">
        <f aca="false">IF(Model!BF49=0,"",Model!BF49)</f>
        <v/>
      </c>
      <c r="BI46" s="204" t="str">
        <f aca="false">IF(Model!BG49=0,"",Model!BG49)</f>
        <v/>
      </c>
      <c r="BJ46" s="204" t="str">
        <f aca="false">IF(Model!BH49=0,"",Model!BH49)</f>
        <v/>
      </c>
      <c r="BK46" s="204" t="str">
        <f aca="false">IF(Model!BI49=0,"",Model!BI49)</f>
        <v/>
      </c>
      <c r="BL46" s="204" t="str">
        <f aca="false">IF(Model!BJ49=0,"",Model!BJ49)</f>
        <v/>
      </c>
      <c r="BM46" s="204" t="str">
        <f aca="false">IF(Model!BK49=0,"",Model!BK49)</f>
        <v/>
      </c>
      <c r="BN46" s="204" t="str">
        <f aca="false">IF(Model!BL49=0,"",Model!BL49)</f>
        <v/>
      </c>
      <c r="BO46" s="204" t="str">
        <f aca="false">IF(Model!BM49=0,"",Model!BM49)</f>
        <v/>
      </c>
      <c r="BP46" s="204" t="str">
        <f aca="false">IF(Model!BN49=0,"",Model!BN49)</f>
        <v/>
      </c>
      <c r="BQ46" s="204" t="str">
        <f aca="false">IF(Model!BO49=0,"",Model!BO49)</f>
        <v/>
      </c>
      <c r="BR46" s="204" t="str">
        <f aca="false">IF(Model!BP49=0,"",Model!BP49)</f>
        <v/>
      </c>
      <c r="BS46" s="204" t="str">
        <f aca="false">IF(Model!BQ49=0,"",Model!BQ49)</f>
        <v/>
      </c>
      <c r="BT46" s="204" t="str">
        <f aca="false">IF(Model!BR49=0,"",Model!BR49)</f>
        <v/>
      </c>
      <c r="BU46" s="204" t="str">
        <f aca="false">IF(Model!BS49=0,"",Model!BS49)</f>
        <v/>
      </c>
      <c r="BV46" s="204" t="str">
        <f aca="false">IF(Model!BT49=0,"",Model!BT49)</f>
        <v/>
      </c>
      <c r="BW46" s="204" t="str">
        <f aca="false">IF(Model!BU49=0,"",Model!BU49)</f>
        <v/>
      </c>
      <c r="BX46" s="204" t="str">
        <f aca="false">IF(Model!BV49=0,"",Model!BV49)</f>
        <v/>
      </c>
      <c r="BY46" s="204" t="str">
        <f aca="false">IF(Model!BW49=0,"",Model!BW49)</f>
        <v/>
      </c>
      <c r="BZ46" s="204" t="str">
        <f aca="false">IF(Model!BX49=0,"",Model!BX49)</f>
        <v/>
      </c>
      <c r="CA46" s="204" t="str">
        <f aca="false">IF(Model!BY49=0,"",Model!BY49)</f>
        <v/>
      </c>
      <c r="CB46" s="204" t="str">
        <f aca="false">IF(Model!BZ49=0,"",Model!BZ49)</f>
        <v/>
      </c>
      <c r="CC46" s="204" t="str">
        <f aca="false">IF(Model!CA49=0,"",Model!CA49)</f>
        <v/>
      </c>
      <c r="CD46" s="204" t="str">
        <f aca="false">IF(Model!CB49=0,"",Model!CB49)</f>
        <v/>
      </c>
      <c r="CE46" s="204" t="str">
        <f aca="false">IF(Model!CC49=0,"",Model!CC49)</f>
        <v/>
      </c>
      <c r="CF46" s="204" t="str">
        <f aca="false">IF(Model!CD49=0,"",Model!CD49)</f>
        <v/>
      </c>
      <c r="CG46" s="204" t="str">
        <f aca="false">IF(Model!CE49=0,"",Model!CE49)</f>
        <v/>
      </c>
      <c r="CH46" s="204" t="str">
        <f aca="false">IF(Model!CF49=0,"",Model!CF49)</f>
        <v/>
      </c>
      <c r="CI46" s="204" t="str">
        <f aca="false">IF(Model!CG49=0,"",Model!CG49)</f>
        <v/>
      </c>
      <c r="CJ46" s="204" t="str">
        <f aca="false">IF(Model!CH49=0,"",Model!CH49)</f>
        <v/>
      </c>
      <c r="CK46" s="204" t="str">
        <f aca="false">IF(Model!CI49=0,"",Model!CI49)</f>
        <v/>
      </c>
      <c r="CL46" s="204" t="str">
        <f aca="false">IF(Model!CJ49=0,"",Model!CJ49)</f>
        <v/>
      </c>
      <c r="CM46" s="204" t="str">
        <f aca="false">IF(Model!CK49=0,"",Model!CK49)</f>
        <v/>
      </c>
      <c r="CN46" s="204" t="str">
        <f aca="false">IF(Model!CL49=0,"",Model!CL49)</f>
        <v/>
      </c>
      <c r="CO46" s="204" t="str">
        <f aca="false">IF(Model!CM49=0,"",Model!CM49)</f>
        <v/>
      </c>
      <c r="CP46" s="204" t="str">
        <f aca="false">IF(Model!CN49=0,"",Model!CN49)</f>
        <v/>
      </c>
      <c r="CQ46" s="204" t="str">
        <f aca="false">IF(Model!CO49=0,"",Model!CO49)</f>
        <v/>
      </c>
      <c r="CR46" s="204" t="str">
        <f aca="false">IF(Model!CP49=0,"",Model!CP49)</f>
        <v/>
      </c>
      <c r="CS46" s="204" t="str">
        <f aca="false">IF(Model!CQ49=0,"",Model!CQ49)</f>
        <v/>
      </c>
      <c r="CT46" s="204" t="str">
        <f aca="false">IF(Model!CR49=0,"",Model!CR49)</f>
        <v/>
      </c>
      <c r="CU46" s="204" t="str">
        <f aca="false">IF(Model!CS49=0,"",Model!CS49)</f>
        <v/>
      </c>
      <c r="CV46" s="204" t="str">
        <f aca="false">IF(Model!CT49=0,"",Model!CT49)</f>
        <v/>
      </c>
      <c r="CW46" s="204" t="str">
        <f aca="false">IF(Model!CU49=0,"",Model!CU49)</f>
        <v/>
      </c>
      <c r="CX46" s="204" t="str">
        <f aca="false">IF(Model!CV49=0,"",Model!CV49)</f>
        <v/>
      </c>
      <c r="CY46" s="204" t="str">
        <f aca="false">IF(Model!CW49=0,"",Model!CW49)</f>
        <v/>
      </c>
      <c r="CZ46" s="204" t="str">
        <f aca="false">IF(Model!CX49=0,"",Model!CX49)</f>
        <v/>
      </c>
      <c r="DA46" s="204" t="str">
        <f aca="false">IF(Model!CY49=0,"",Model!CY49)</f>
        <v/>
      </c>
      <c r="DB46" s="204" t="str">
        <f aca="false">IF(Model!CZ49=0,"",Model!CZ49)</f>
        <v/>
      </c>
    </row>
    <row r="47" customFormat="false" ht="15" hidden="false" customHeight="true" outlineLevel="0" collapsed="false">
      <c r="A47" s="123" t="s">
        <v>44</v>
      </c>
      <c r="B47" s="201" t="n">
        <f aca="false">Projects!$B$41</f>
        <v>15000000</v>
      </c>
      <c r="C47" s="202" t="n">
        <f aca="false">EDATE(Model!$E$2,Projects!$C$41-1)</f>
        <v>48274</v>
      </c>
      <c r="D47" s="202" t="n">
        <f aca="false">EDATE(Model!$E$2,Projects!$C$41+Projects!$D$41-2)</f>
        <v>48823</v>
      </c>
      <c r="E47" s="203" t="n">
        <f aca="false">Projects!$D$41</f>
        <v>19</v>
      </c>
      <c r="F47" s="201" t="n">
        <f aca="false">SUM(G47:DB47)</f>
        <v>0</v>
      </c>
      <c r="G47" s="204" t="str">
        <f aca="false">IF(Model!E50=0,"",Model!E50)</f>
        <v/>
      </c>
      <c r="H47" s="204" t="str">
        <f aca="false">IF(Model!F50=0,"",Model!F50)</f>
        <v/>
      </c>
      <c r="I47" s="204" t="str">
        <f aca="false">IF(Model!G50=0,"",Model!G50)</f>
        <v/>
      </c>
      <c r="J47" s="204" t="str">
        <f aca="false">IF(Model!H50=0,"",Model!H50)</f>
        <v/>
      </c>
      <c r="K47" s="204" t="str">
        <f aca="false">IF(Model!I50=0,"",Model!I50)</f>
        <v/>
      </c>
      <c r="L47" s="204" t="str">
        <f aca="false">IF(Model!J50=0,"",Model!J50)</f>
        <v/>
      </c>
      <c r="M47" s="204" t="str">
        <f aca="false">IF(Model!K50=0,"",Model!K50)</f>
        <v/>
      </c>
      <c r="N47" s="204" t="str">
        <f aca="false">IF(Model!L50=0,"",Model!L50)</f>
        <v/>
      </c>
      <c r="O47" s="204" t="str">
        <f aca="false">IF(Model!M50=0,"",Model!M50)</f>
        <v/>
      </c>
      <c r="P47" s="204" t="str">
        <f aca="false">IF(Model!N50=0,"",Model!N50)</f>
        <v/>
      </c>
      <c r="Q47" s="204" t="str">
        <f aca="false">IF(Model!O50=0,"",Model!O50)</f>
        <v/>
      </c>
      <c r="R47" s="204" t="str">
        <f aca="false">IF(Model!P50=0,"",Model!P50)</f>
        <v/>
      </c>
      <c r="S47" s="204" t="str">
        <f aca="false">IF(Model!Q50=0,"",Model!Q50)</f>
        <v/>
      </c>
      <c r="T47" s="204" t="str">
        <f aca="false">IF(Model!R50=0,"",Model!R50)</f>
        <v/>
      </c>
      <c r="U47" s="204" t="str">
        <f aca="false">IF(Model!S50=0,"",Model!S50)</f>
        <v/>
      </c>
      <c r="V47" s="204" t="str">
        <f aca="false">IF(Model!T50=0,"",Model!T50)</f>
        <v/>
      </c>
      <c r="W47" s="204" t="str">
        <f aca="false">IF(Model!U50=0,"",Model!U50)</f>
        <v/>
      </c>
      <c r="X47" s="204" t="str">
        <f aca="false">IF(Model!V50=0,"",Model!V50)</f>
        <v/>
      </c>
      <c r="Y47" s="204" t="str">
        <f aca="false">IF(Model!W50=0,"",Model!W50)</f>
        <v/>
      </c>
      <c r="Z47" s="204" t="str">
        <f aca="false">IF(Model!X50=0,"",Model!X50)</f>
        <v/>
      </c>
      <c r="AA47" s="204" t="str">
        <f aca="false">IF(Model!Y50=0,"",Model!Y50)</f>
        <v/>
      </c>
      <c r="AB47" s="204" t="str">
        <f aca="false">IF(Model!Z50=0,"",Model!Z50)</f>
        <v/>
      </c>
      <c r="AC47" s="204" t="str">
        <f aca="false">IF(Model!AA50=0,"",Model!AA50)</f>
        <v/>
      </c>
      <c r="AD47" s="204" t="str">
        <f aca="false">IF(Model!AB50=0,"",Model!AB50)</f>
        <v/>
      </c>
      <c r="AE47" s="204" t="str">
        <f aca="false">IF(Model!AC50=0,"",Model!AC50)</f>
        <v/>
      </c>
      <c r="AF47" s="204" t="str">
        <f aca="false">IF(Model!AD50=0,"",Model!AD50)</f>
        <v/>
      </c>
      <c r="AG47" s="204" t="str">
        <f aca="false">IF(Model!AE50=0,"",Model!AE50)</f>
        <v/>
      </c>
      <c r="AH47" s="204" t="str">
        <f aca="false">IF(Model!AF50=0,"",Model!AF50)</f>
        <v/>
      </c>
      <c r="AI47" s="204" t="str">
        <f aca="false">IF(Model!AG50=0,"",Model!AG50)</f>
        <v/>
      </c>
      <c r="AJ47" s="204" t="str">
        <f aca="false">IF(Model!AH50=0,"",Model!AH50)</f>
        <v/>
      </c>
      <c r="AK47" s="204" t="str">
        <f aca="false">IF(Model!AI50=0,"",Model!AI50)</f>
        <v/>
      </c>
      <c r="AL47" s="204" t="str">
        <f aca="false">IF(Model!AJ50=0,"",Model!AJ50)</f>
        <v/>
      </c>
      <c r="AM47" s="204" t="str">
        <f aca="false">IF(Model!AK50=0,"",Model!AK50)</f>
        <v/>
      </c>
      <c r="AN47" s="204" t="str">
        <f aca="false">IF(Model!AL50=0,"",Model!AL50)</f>
        <v/>
      </c>
      <c r="AO47" s="204" t="str">
        <f aca="false">IF(Model!AM50=0,"",Model!AM50)</f>
        <v/>
      </c>
      <c r="AP47" s="204" t="str">
        <f aca="false">IF(Model!AN50=0,"",Model!AN50)</f>
        <v/>
      </c>
      <c r="AQ47" s="204" t="str">
        <f aca="false">IF(Model!AO50=0,"",Model!AO50)</f>
        <v/>
      </c>
      <c r="AR47" s="204" t="str">
        <f aca="false">IF(Model!AP50=0,"",Model!AP50)</f>
        <v/>
      </c>
      <c r="AS47" s="204" t="str">
        <f aca="false">IF(Model!AQ50=0,"",Model!AQ50)</f>
        <v/>
      </c>
      <c r="AT47" s="204" t="str">
        <f aca="false">IF(Model!AR50=0,"",Model!AR50)</f>
        <v/>
      </c>
      <c r="AU47" s="204" t="str">
        <f aca="false">IF(Model!AS50=0,"",Model!AS50)</f>
        <v/>
      </c>
      <c r="AV47" s="204" t="str">
        <f aca="false">IF(Model!AT50=0,"",Model!AT50)</f>
        <v/>
      </c>
      <c r="AW47" s="204" t="str">
        <f aca="false">IF(Model!AU50=0,"",Model!AU50)</f>
        <v/>
      </c>
      <c r="AX47" s="204" t="str">
        <f aca="false">IF(Model!AV50=0,"",Model!AV50)</f>
        <v/>
      </c>
      <c r="AY47" s="204" t="str">
        <f aca="false">IF(Model!AW50=0,"",Model!AW50)</f>
        <v/>
      </c>
      <c r="AZ47" s="204" t="str">
        <f aca="false">IF(Model!AX50=0,"",Model!AX50)</f>
        <v/>
      </c>
      <c r="BA47" s="204" t="str">
        <f aca="false">IF(Model!AY50=0,"",Model!AY50)</f>
        <v/>
      </c>
      <c r="BB47" s="204" t="str">
        <f aca="false">IF(Model!AZ50=0,"",Model!AZ50)</f>
        <v/>
      </c>
      <c r="BC47" s="204" t="str">
        <f aca="false">IF(Model!BA50=0,"",Model!BA50)</f>
        <v/>
      </c>
      <c r="BD47" s="204" t="str">
        <f aca="false">IF(Model!BB50=0,"",Model!BB50)</f>
        <v/>
      </c>
      <c r="BE47" s="204" t="str">
        <f aca="false">IF(Model!BC50=0,"",Model!BC50)</f>
        <v/>
      </c>
      <c r="BF47" s="204" t="str">
        <f aca="false">IF(Model!BD50=0,"",Model!BD50)</f>
        <v/>
      </c>
      <c r="BG47" s="204" t="str">
        <f aca="false">IF(Model!BE50=0,"",Model!BE50)</f>
        <v/>
      </c>
      <c r="BH47" s="204" t="str">
        <f aca="false">IF(Model!BF50=0,"",Model!BF50)</f>
        <v/>
      </c>
      <c r="BI47" s="204" t="str">
        <f aca="false">IF(Model!BG50=0,"",Model!BG50)</f>
        <v/>
      </c>
      <c r="BJ47" s="204" t="str">
        <f aca="false">IF(Model!BH50=0,"",Model!BH50)</f>
        <v/>
      </c>
      <c r="BK47" s="204" t="str">
        <f aca="false">IF(Model!BI50=0,"",Model!BI50)</f>
        <v/>
      </c>
      <c r="BL47" s="204" t="str">
        <f aca="false">IF(Model!BJ50=0,"",Model!BJ50)</f>
        <v/>
      </c>
      <c r="BM47" s="204" t="str">
        <f aca="false">IF(Model!BK50=0,"",Model!BK50)</f>
        <v/>
      </c>
      <c r="BN47" s="204" t="str">
        <f aca="false">IF(Model!BL50=0,"",Model!BL50)</f>
        <v/>
      </c>
      <c r="BO47" s="204" t="str">
        <f aca="false">IF(Model!BM50=0,"",Model!BM50)</f>
        <v/>
      </c>
      <c r="BP47" s="204" t="str">
        <f aca="false">IF(Model!BN50=0,"",Model!BN50)</f>
        <v/>
      </c>
      <c r="BQ47" s="204" t="str">
        <f aca="false">IF(Model!BO50=0,"",Model!BO50)</f>
        <v/>
      </c>
      <c r="BR47" s="204" t="str">
        <f aca="false">IF(Model!BP50=0,"",Model!BP50)</f>
        <v/>
      </c>
      <c r="BS47" s="204" t="str">
        <f aca="false">IF(Model!BQ50=0,"",Model!BQ50)</f>
        <v/>
      </c>
      <c r="BT47" s="204" t="str">
        <f aca="false">IF(Model!BR50=0,"",Model!BR50)</f>
        <v/>
      </c>
      <c r="BU47" s="204" t="str">
        <f aca="false">IF(Model!BS50=0,"",Model!BS50)</f>
        <v/>
      </c>
      <c r="BV47" s="204" t="str">
        <f aca="false">IF(Model!BT50=0,"",Model!BT50)</f>
        <v/>
      </c>
      <c r="BW47" s="204" t="str">
        <f aca="false">IF(Model!BU50=0,"",Model!BU50)</f>
        <v/>
      </c>
      <c r="BX47" s="204" t="str">
        <f aca="false">IF(Model!BV50=0,"",Model!BV50)</f>
        <v/>
      </c>
      <c r="BY47" s="204" t="str">
        <f aca="false">IF(Model!BW50=0,"",Model!BW50)</f>
        <v/>
      </c>
      <c r="BZ47" s="204" t="str">
        <f aca="false">IF(Model!BX50=0,"",Model!BX50)</f>
        <v/>
      </c>
      <c r="CA47" s="204" t="str">
        <f aca="false">IF(Model!BY50=0,"",Model!BY50)</f>
        <v/>
      </c>
      <c r="CB47" s="204" t="str">
        <f aca="false">IF(Model!BZ50=0,"",Model!BZ50)</f>
        <v/>
      </c>
      <c r="CC47" s="204" t="str">
        <f aca="false">IF(Model!CA50=0,"",Model!CA50)</f>
        <v/>
      </c>
      <c r="CD47" s="204" t="str">
        <f aca="false">IF(Model!CB50=0,"",Model!CB50)</f>
        <v/>
      </c>
      <c r="CE47" s="204" t="str">
        <f aca="false">IF(Model!CC50=0,"",Model!CC50)</f>
        <v/>
      </c>
      <c r="CF47" s="204" t="str">
        <f aca="false">IF(Model!CD50=0,"",Model!CD50)</f>
        <v/>
      </c>
      <c r="CG47" s="204" t="str">
        <f aca="false">IF(Model!CE50=0,"",Model!CE50)</f>
        <v/>
      </c>
      <c r="CH47" s="204" t="str">
        <f aca="false">IF(Model!CF50=0,"",Model!CF50)</f>
        <v/>
      </c>
      <c r="CI47" s="204" t="str">
        <f aca="false">IF(Model!CG50=0,"",Model!CG50)</f>
        <v/>
      </c>
      <c r="CJ47" s="204" t="str">
        <f aca="false">IF(Model!CH50=0,"",Model!CH50)</f>
        <v/>
      </c>
      <c r="CK47" s="204" t="str">
        <f aca="false">IF(Model!CI50=0,"",Model!CI50)</f>
        <v/>
      </c>
      <c r="CL47" s="204" t="str">
        <f aca="false">IF(Model!CJ50=0,"",Model!CJ50)</f>
        <v/>
      </c>
      <c r="CM47" s="204" t="str">
        <f aca="false">IF(Model!CK50=0,"",Model!CK50)</f>
        <v/>
      </c>
      <c r="CN47" s="204" t="str">
        <f aca="false">IF(Model!CL50=0,"",Model!CL50)</f>
        <v/>
      </c>
      <c r="CO47" s="204" t="str">
        <f aca="false">IF(Model!CM50=0,"",Model!CM50)</f>
        <v/>
      </c>
      <c r="CP47" s="204" t="str">
        <f aca="false">IF(Model!CN50=0,"",Model!CN50)</f>
        <v/>
      </c>
      <c r="CQ47" s="204" t="str">
        <f aca="false">IF(Model!CO50=0,"",Model!CO50)</f>
        <v/>
      </c>
      <c r="CR47" s="204" t="str">
        <f aca="false">IF(Model!CP50=0,"",Model!CP50)</f>
        <v/>
      </c>
      <c r="CS47" s="204" t="str">
        <f aca="false">IF(Model!CQ50=0,"",Model!CQ50)</f>
        <v/>
      </c>
      <c r="CT47" s="204" t="str">
        <f aca="false">IF(Model!CR50=0,"",Model!CR50)</f>
        <v/>
      </c>
      <c r="CU47" s="204" t="str">
        <f aca="false">IF(Model!CS50=0,"",Model!CS50)</f>
        <v/>
      </c>
      <c r="CV47" s="204" t="str">
        <f aca="false">IF(Model!CT50=0,"",Model!CT50)</f>
        <v/>
      </c>
      <c r="CW47" s="204" t="str">
        <f aca="false">IF(Model!CU50=0,"",Model!CU50)</f>
        <v/>
      </c>
      <c r="CX47" s="204" t="str">
        <f aca="false">IF(Model!CV50=0,"",Model!CV50)</f>
        <v/>
      </c>
      <c r="CY47" s="204" t="str">
        <f aca="false">IF(Model!CW50=0,"",Model!CW50)</f>
        <v/>
      </c>
      <c r="CZ47" s="204" t="str">
        <f aca="false">IF(Model!CX50=0,"",Model!CX50)</f>
        <v/>
      </c>
      <c r="DA47" s="204" t="str">
        <f aca="false">IF(Model!CY50=0,"",Model!CY50)</f>
        <v/>
      </c>
      <c r="DB47" s="204" t="str">
        <f aca="false">IF(Model!CZ50=0,"",Model!CZ50)</f>
        <v/>
      </c>
    </row>
    <row r="48" customFormat="false" ht="15" hidden="false" customHeight="true" outlineLevel="0" collapsed="false">
      <c r="A48" s="123" t="s">
        <v>45</v>
      </c>
      <c r="B48" s="201" t="n">
        <f aca="false">Projects!$B$42</f>
        <v>18000000</v>
      </c>
      <c r="C48" s="202" t="n">
        <f aca="false">EDATE(Model!$E$2,Projects!$C$42-1)</f>
        <v>48335</v>
      </c>
      <c r="D48" s="202" t="n">
        <f aca="false">EDATE(Model!$E$2,Projects!$C$42+Projects!$D$42-2)</f>
        <v>48884</v>
      </c>
      <c r="E48" s="203" t="n">
        <f aca="false">Projects!$D$42</f>
        <v>19</v>
      </c>
      <c r="F48" s="201" t="n">
        <f aca="false">SUM(G48:DB48)</f>
        <v>0</v>
      </c>
      <c r="G48" s="204" t="str">
        <f aca="false">IF(Model!E51=0,"",Model!E51)</f>
        <v/>
      </c>
      <c r="H48" s="204" t="str">
        <f aca="false">IF(Model!F51=0,"",Model!F51)</f>
        <v/>
      </c>
      <c r="I48" s="204" t="str">
        <f aca="false">IF(Model!G51=0,"",Model!G51)</f>
        <v/>
      </c>
      <c r="J48" s="204" t="str">
        <f aca="false">IF(Model!H51=0,"",Model!H51)</f>
        <v/>
      </c>
      <c r="K48" s="204" t="str">
        <f aca="false">IF(Model!I51=0,"",Model!I51)</f>
        <v/>
      </c>
      <c r="L48" s="204" t="str">
        <f aca="false">IF(Model!J51=0,"",Model!J51)</f>
        <v/>
      </c>
      <c r="M48" s="204" t="str">
        <f aca="false">IF(Model!K51=0,"",Model!K51)</f>
        <v/>
      </c>
      <c r="N48" s="204" t="str">
        <f aca="false">IF(Model!L51=0,"",Model!L51)</f>
        <v/>
      </c>
      <c r="O48" s="204" t="str">
        <f aca="false">IF(Model!M51=0,"",Model!M51)</f>
        <v/>
      </c>
      <c r="P48" s="204" t="str">
        <f aca="false">IF(Model!N51=0,"",Model!N51)</f>
        <v/>
      </c>
      <c r="Q48" s="204" t="str">
        <f aca="false">IF(Model!O51=0,"",Model!O51)</f>
        <v/>
      </c>
      <c r="R48" s="204" t="str">
        <f aca="false">IF(Model!P51=0,"",Model!P51)</f>
        <v/>
      </c>
      <c r="S48" s="204" t="str">
        <f aca="false">IF(Model!Q51=0,"",Model!Q51)</f>
        <v/>
      </c>
      <c r="T48" s="204" t="str">
        <f aca="false">IF(Model!R51=0,"",Model!R51)</f>
        <v/>
      </c>
      <c r="U48" s="204" t="str">
        <f aca="false">IF(Model!S51=0,"",Model!S51)</f>
        <v/>
      </c>
      <c r="V48" s="204" t="str">
        <f aca="false">IF(Model!T51=0,"",Model!T51)</f>
        <v/>
      </c>
      <c r="W48" s="204" t="str">
        <f aca="false">IF(Model!U51=0,"",Model!U51)</f>
        <v/>
      </c>
      <c r="X48" s="204" t="str">
        <f aca="false">IF(Model!V51=0,"",Model!V51)</f>
        <v/>
      </c>
      <c r="Y48" s="204" t="str">
        <f aca="false">IF(Model!W51=0,"",Model!W51)</f>
        <v/>
      </c>
      <c r="Z48" s="204" t="str">
        <f aca="false">IF(Model!X51=0,"",Model!X51)</f>
        <v/>
      </c>
      <c r="AA48" s="204" t="str">
        <f aca="false">IF(Model!Y51=0,"",Model!Y51)</f>
        <v/>
      </c>
      <c r="AB48" s="204" t="str">
        <f aca="false">IF(Model!Z51=0,"",Model!Z51)</f>
        <v/>
      </c>
      <c r="AC48" s="204" t="str">
        <f aca="false">IF(Model!AA51=0,"",Model!AA51)</f>
        <v/>
      </c>
      <c r="AD48" s="204" t="str">
        <f aca="false">IF(Model!AB51=0,"",Model!AB51)</f>
        <v/>
      </c>
      <c r="AE48" s="204" t="str">
        <f aca="false">IF(Model!AC51=0,"",Model!AC51)</f>
        <v/>
      </c>
      <c r="AF48" s="204" t="str">
        <f aca="false">IF(Model!AD51=0,"",Model!AD51)</f>
        <v/>
      </c>
      <c r="AG48" s="204" t="str">
        <f aca="false">IF(Model!AE51=0,"",Model!AE51)</f>
        <v/>
      </c>
      <c r="AH48" s="204" t="str">
        <f aca="false">IF(Model!AF51=0,"",Model!AF51)</f>
        <v/>
      </c>
      <c r="AI48" s="204" t="str">
        <f aca="false">IF(Model!AG51=0,"",Model!AG51)</f>
        <v/>
      </c>
      <c r="AJ48" s="204" t="str">
        <f aca="false">IF(Model!AH51=0,"",Model!AH51)</f>
        <v/>
      </c>
      <c r="AK48" s="204" t="str">
        <f aca="false">IF(Model!AI51=0,"",Model!AI51)</f>
        <v/>
      </c>
      <c r="AL48" s="204" t="str">
        <f aca="false">IF(Model!AJ51=0,"",Model!AJ51)</f>
        <v/>
      </c>
      <c r="AM48" s="204" t="str">
        <f aca="false">IF(Model!AK51=0,"",Model!AK51)</f>
        <v/>
      </c>
      <c r="AN48" s="204" t="str">
        <f aca="false">IF(Model!AL51=0,"",Model!AL51)</f>
        <v/>
      </c>
      <c r="AO48" s="204" t="str">
        <f aca="false">IF(Model!AM51=0,"",Model!AM51)</f>
        <v/>
      </c>
      <c r="AP48" s="204" t="str">
        <f aca="false">IF(Model!AN51=0,"",Model!AN51)</f>
        <v/>
      </c>
      <c r="AQ48" s="204" t="str">
        <f aca="false">IF(Model!AO51=0,"",Model!AO51)</f>
        <v/>
      </c>
      <c r="AR48" s="204" t="str">
        <f aca="false">IF(Model!AP51=0,"",Model!AP51)</f>
        <v/>
      </c>
      <c r="AS48" s="204" t="str">
        <f aca="false">IF(Model!AQ51=0,"",Model!AQ51)</f>
        <v/>
      </c>
      <c r="AT48" s="204" t="str">
        <f aca="false">IF(Model!AR51=0,"",Model!AR51)</f>
        <v/>
      </c>
      <c r="AU48" s="204" t="str">
        <f aca="false">IF(Model!AS51=0,"",Model!AS51)</f>
        <v/>
      </c>
      <c r="AV48" s="204" t="str">
        <f aca="false">IF(Model!AT51=0,"",Model!AT51)</f>
        <v/>
      </c>
      <c r="AW48" s="204" t="str">
        <f aca="false">IF(Model!AU51=0,"",Model!AU51)</f>
        <v/>
      </c>
      <c r="AX48" s="204" t="str">
        <f aca="false">IF(Model!AV51=0,"",Model!AV51)</f>
        <v/>
      </c>
      <c r="AY48" s="204" t="str">
        <f aca="false">IF(Model!AW51=0,"",Model!AW51)</f>
        <v/>
      </c>
      <c r="AZ48" s="204" t="str">
        <f aca="false">IF(Model!AX51=0,"",Model!AX51)</f>
        <v/>
      </c>
      <c r="BA48" s="204" t="str">
        <f aca="false">IF(Model!AY51=0,"",Model!AY51)</f>
        <v/>
      </c>
      <c r="BB48" s="204" t="str">
        <f aca="false">IF(Model!AZ51=0,"",Model!AZ51)</f>
        <v/>
      </c>
      <c r="BC48" s="204" t="str">
        <f aca="false">IF(Model!BA51=0,"",Model!BA51)</f>
        <v/>
      </c>
      <c r="BD48" s="204" t="str">
        <f aca="false">IF(Model!BB51=0,"",Model!BB51)</f>
        <v/>
      </c>
      <c r="BE48" s="204" t="str">
        <f aca="false">IF(Model!BC51=0,"",Model!BC51)</f>
        <v/>
      </c>
      <c r="BF48" s="204" t="str">
        <f aca="false">IF(Model!BD51=0,"",Model!BD51)</f>
        <v/>
      </c>
      <c r="BG48" s="204" t="str">
        <f aca="false">IF(Model!BE51=0,"",Model!BE51)</f>
        <v/>
      </c>
      <c r="BH48" s="204" t="str">
        <f aca="false">IF(Model!BF51=0,"",Model!BF51)</f>
        <v/>
      </c>
      <c r="BI48" s="204" t="str">
        <f aca="false">IF(Model!BG51=0,"",Model!BG51)</f>
        <v/>
      </c>
      <c r="BJ48" s="204" t="str">
        <f aca="false">IF(Model!BH51=0,"",Model!BH51)</f>
        <v/>
      </c>
      <c r="BK48" s="204" t="str">
        <f aca="false">IF(Model!BI51=0,"",Model!BI51)</f>
        <v/>
      </c>
      <c r="BL48" s="204" t="str">
        <f aca="false">IF(Model!BJ51=0,"",Model!BJ51)</f>
        <v/>
      </c>
      <c r="BM48" s="204" t="str">
        <f aca="false">IF(Model!BK51=0,"",Model!BK51)</f>
        <v/>
      </c>
      <c r="BN48" s="204" t="str">
        <f aca="false">IF(Model!BL51=0,"",Model!BL51)</f>
        <v/>
      </c>
      <c r="BO48" s="204" t="str">
        <f aca="false">IF(Model!BM51=0,"",Model!BM51)</f>
        <v/>
      </c>
      <c r="BP48" s="204" t="str">
        <f aca="false">IF(Model!BN51=0,"",Model!BN51)</f>
        <v/>
      </c>
      <c r="BQ48" s="204" t="str">
        <f aca="false">IF(Model!BO51=0,"",Model!BO51)</f>
        <v/>
      </c>
      <c r="BR48" s="204" t="str">
        <f aca="false">IF(Model!BP51=0,"",Model!BP51)</f>
        <v/>
      </c>
      <c r="BS48" s="204" t="str">
        <f aca="false">IF(Model!BQ51=0,"",Model!BQ51)</f>
        <v/>
      </c>
      <c r="BT48" s="204" t="str">
        <f aca="false">IF(Model!BR51=0,"",Model!BR51)</f>
        <v/>
      </c>
      <c r="BU48" s="204" t="str">
        <f aca="false">IF(Model!BS51=0,"",Model!BS51)</f>
        <v/>
      </c>
      <c r="BV48" s="204" t="str">
        <f aca="false">IF(Model!BT51=0,"",Model!BT51)</f>
        <v/>
      </c>
      <c r="BW48" s="204" t="str">
        <f aca="false">IF(Model!BU51=0,"",Model!BU51)</f>
        <v/>
      </c>
      <c r="BX48" s="204" t="str">
        <f aca="false">IF(Model!BV51=0,"",Model!BV51)</f>
        <v/>
      </c>
      <c r="BY48" s="204" t="str">
        <f aca="false">IF(Model!BW51=0,"",Model!BW51)</f>
        <v/>
      </c>
      <c r="BZ48" s="204" t="str">
        <f aca="false">IF(Model!BX51=0,"",Model!BX51)</f>
        <v/>
      </c>
      <c r="CA48" s="204" t="str">
        <f aca="false">IF(Model!BY51=0,"",Model!BY51)</f>
        <v/>
      </c>
      <c r="CB48" s="204" t="str">
        <f aca="false">IF(Model!BZ51=0,"",Model!BZ51)</f>
        <v/>
      </c>
      <c r="CC48" s="204" t="str">
        <f aca="false">IF(Model!CA51=0,"",Model!CA51)</f>
        <v/>
      </c>
      <c r="CD48" s="204" t="str">
        <f aca="false">IF(Model!CB51=0,"",Model!CB51)</f>
        <v/>
      </c>
      <c r="CE48" s="204" t="str">
        <f aca="false">IF(Model!CC51=0,"",Model!CC51)</f>
        <v/>
      </c>
      <c r="CF48" s="204" t="str">
        <f aca="false">IF(Model!CD51=0,"",Model!CD51)</f>
        <v/>
      </c>
      <c r="CG48" s="204" t="str">
        <f aca="false">IF(Model!CE51=0,"",Model!CE51)</f>
        <v/>
      </c>
      <c r="CH48" s="204" t="str">
        <f aca="false">IF(Model!CF51=0,"",Model!CF51)</f>
        <v/>
      </c>
      <c r="CI48" s="204" t="str">
        <f aca="false">IF(Model!CG51=0,"",Model!CG51)</f>
        <v/>
      </c>
      <c r="CJ48" s="204" t="str">
        <f aca="false">IF(Model!CH51=0,"",Model!CH51)</f>
        <v/>
      </c>
      <c r="CK48" s="204" t="str">
        <f aca="false">IF(Model!CI51=0,"",Model!CI51)</f>
        <v/>
      </c>
      <c r="CL48" s="204" t="str">
        <f aca="false">IF(Model!CJ51=0,"",Model!CJ51)</f>
        <v/>
      </c>
      <c r="CM48" s="204" t="str">
        <f aca="false">IF(Model!CK51=0,"",Model!CK51)</f>
        <v/>
      </c>
      <c r="CN48" s="204" t="str">
        <f aca="false">IF(Model!CL51=0,"",Model!CL51)</f>
        <v/>
      </c>
      <c r="CO48" s="204" t="str">
        <f aca="false">IF(Model!CM51=0,"",Model!CM51)</f>
        <v/>
      </c>
      <c r="CP48" s="204" t="str">
        <f aca="false">IF(Model!CN51=0,"",Model!CN51)</f>
        <v/>
      </c>
      <c r="CQ48" s="204" t="str">
        <f aca="false">IF(Model!CO51=0,"",Model!CO51)</f>
        <v/>
      </c>
      <c r="CR48" s="204" t="str">
        <f aca="false">IF(Model!CP51=0,"",Model!CP51)</f>
        <v/>
      </c>
      <c r="CS48" s="204" t="str">
        <f aca="false">IF(Model!CQ51=0,"",Model!CQ51)</f>
        <v/>
      </c>
      <c r="CT48" s="204" t="str">
        <f aca="false">IF(Model!CR51=0,"",Model!CR51)</f>
        <v/>
      </c>
      <c r="CU48" s="204" t="str">
        <f aca="false">IF(Model!CS51=0,"",Model!CS51)</f>
        <v/>
      </c>
      <c r="CV48" s="204" t="str">
        <f aca="false">IF(Model!CT51=0,"",Model!CT51)</f>
        <v/>
      </c>
      <c r="CW48" s="204" t="str">
        <f aca="false">IF(Model!CU51=0,"",Model!CU51)</f>
        <v/>
      </c>
      <c r="CX48" s="204" t="str">
        <f aca="false">IF(Model!CV51=0,"",Model!CV51)</f>
        <v/>
      </c>
      <c r="CY48" s="204" t="str">
        <f aca="false">IF(Model!CW51=0,"",Model!CW51)</f>
        <v/>
      </c>
      <c r="CZ48" s="204" t="str">
        <f aca="false">IF(Model!CX51=0,"",Model!CX51)</f>
        <v/>
      </c>
      <c r="DA48" s="204" t="str">
        <f aca="false">IF(Model!CY51=0,"",Model!CY51)</f>
        <v/>
      </c>
      <c r="DB48" s="204" t="str">
        <f aca="false">IF(Model!CZ51=0,"",Model!CZ51)</f>
        <v/>
      </c>
    </row>
    <row r="49" customFormat="false" ht="15" hidden="false" customHeight="true" outlineLevel="0" collapsed="false">
      <c r="A49" s="123" t="s">
        <v>46</v>
      </c>
      <c r="B49" s="201" t="n">
        <f aca="false">Projects!$B$43</f>
        <v>15000000</v>
      </c>
      <c r="C49" s="202" t="n">
        <f aca="false">EDATE(Model!$E$2,Projects!$C$43-1)</f>
        <v>48396</v>
      </c>
      <c r="D49" s="202" t="n">
        <f aca="false">EDATE(Model!$E$2,Projects!$C$43+Projects!$D$43-2)</f>
        <v>48945</v>
      </c>
      <c r="E49" s="203" t="n">
        <f aca="false">Projects!$D$43</f>
        <v>19</v>
      </c>
      <c r="F49" s="201" t="n">
        <f aca="false">SUM(G49:DB49)</f>
        <v>0</v>
      </c>
      <c r="G49" s="204" t="str">
        <f aca="false">IF(Model!E52=0,"",Model!E52)</f>
        <v/>
      </c>
      <c r="H49" s="204" t="str">
        <f aca="false">IF(Model!F52=0,"",Model!F52)</f>
        <v/>
      </c>
      <c r="I49" s="204" t="str">
        <f aca="false">IF(Model!G52=0,"",Model!G52)</f>
        <v/>
      </c>
      <c r="J49" s="204" t="str">
        <f aca="false">IF(Model!H52=0,"",Model!H52)</f>
        <v/>
      </c>
      <c r="K49" s="204" t="str">
        <f aca="false">IF(Model!I52=0,"",Model!I52)</f>
        <v/>
      </c>
      <c r="L49" s="204" t="str">
        <f aca="false">IF(Model!J52=0,"",Model!J52)</f>
        <v/>
      </c>
      <c r="M49" s="204" t="str">
        <f aca="false">IF(Model!K52=0,"",Model!K52)</f>
        <v/>
      </c>
      <c r="N49" s="204" t="str">
        <f aca="false">IF(Model!L52=0,"",Model!L52)</f>
        <v/>
      </c>
      <c r="O49" s="204" t="str">
        <f aca="false">IF(Model!M52=0,"",Model!M52)</f>
        <v/>
      </c>
      <c r="P49" s="204" t="str">
        <f aca="false">IF(Model!N52=0,"",Model!N52)</f>
        <v/>
      </c>
      <c r="Q49" s="204" t="str">
        <f aca="false">IF(Model!O52=0,"",Model!O52)</f>
        <v/>
      </c>
      <c r="R49" s="204" t="str">
        <f aca="false">IF(Model!P52=0,"",Model!P52)</f>
        <v/>
      </c>
      <c r="S49" s="204" t="str">
        <f aca="false">IF(Model!Q52=0,"",Model!Q52)</f>
        <v/>
      </c>
      <c r="T49" s="204" t="str">
        <f aca="false">IF(Model!R52=0,"",Model!R52)</f>
        <v/>
      </c>
      <c r="U49" s="204" t="str">
        <f aca="false">IF(Model!S52=0,"",Model!S52)</f>
        <v/>
      </c>
      <c r="V49" s="204" t="str">
        <f aca="false">IF(Model!T52=0,"",Model!T52)</f>
        <v/>
      </c>
      <c r="W49" s="204" t="str">
        <f aca="false">IF(Model!U52=0,"",Model!U52)</f>
        <v/>
      </c>
      <c r="X49" s="204" t="str">
        <f aca="false">IF(Model!V52=0,"",Model!V52)</f>
        <v/>
      </c>
      <c r="Y49" s="204" t="str">
        <f aca="false">IF(Model!W52=0,"",Model!W52)</f>
        <v/>
      </c>
      <c r="Z49" s="204" t="str">
        <f aca="false">IF(Model!X52=0,"",Model!X52)</f>
        <v/>
      </c>
      <c r="AA49" s="204" t="str">
        <f aca="false">IF(Model!Y52=0,"",Model!Y52)</f>
        <v/>
      </c>
      <c r="AB49" s="204" t="str">
        <f aca="false">IF(Model!Z52=0,"",Model!Z52)</f>
        <v/>
      </c>
      <c r="AC49" s="204" t="str">
        <f aca="false">IF(Model!AA52=0,"",Model!AA52)</f>
        <v/>
      </c>
      <c r="AD49" s="204" t="str">
        <f aca="false">IF(Model!AB52=0,"",Model!AB52)</f>
        <v/>
      </c>
      <c r="AE49" s="204" t="str">
        <f aca="false">IF(Model!AC52=0,"",Model!AC52)</f>
        <v/>
      </c>
      <c r="AF49" s="204" t="str">
        <f aca="false">IF(Model!AD52=0,"",Model!AD52)</f>
        <v/>
      </c>
      <c r="AG49" s="204" t="str">
        <f aca="false">IF(Model!AE52=0,"",Model!AE52)</f>
        <v/>
      </c>
      <c r="AH49" s="204" t="str">
        <f aca="false">IF(Model!AF52=0,"",Model!AF52)</f>
        <v/>
      </c>
      <c r="AI49" s="204" t="str">
        <f aca="false">IF(Model!AG52=0,"",Model!AG52)</f>
        <v/>
      </c>
      <c r="AJ49" s="204" t="str">
        <f aca="false">IF(Model!AH52=0,"",Model!AH52)</f>
        <v/>
      </c>
      <c r="AK49" s="204" t="str">
        <f aca="false">IF(Model!AI52=0,"",Model!AI52)</f>
        <v/>
      </c>
      <c r="AL49" s="204" t="str">
        <f aca="false">IF(Model!AJ52=0,"",Model!AJ52)</f>
        <v/>
      </c>
      <c r="AM49" s="204" t="str">
        <f aca="false">IF(Model!AK52=0,"",Model!AK52)</f>
        <v/>
      </c>
      <c r="AN49" s="204" t="str">
        <f aca="false">IF(Model!AL52=0,"",Model!AL52)</f>
        <v/>
      </c>
      <c r="AO49" s="204" t="str">
        <f aca="false">IF(Model!AM52=0,"",Model!AM52)</f>
        <v/>
      </c>
      <c r="AP49" s="204" t="str">
        <f aca="false">IF(Model!AN52=0,"",Model!AN52)</f>
        <v/>
      </c>
      <c r="AQ49" s="204" t="str">
        <f aca="false">IF(Model!AO52=0,"",Model!AO52)</f>
        <v/>
      </c>
      <c r="AR49" s="204" t="str">
        <f aca="false">IF(Model!AP52=0,"",Model!AP52)</f>
        <v/>
      </c>
      <c r="AS49" s="204" t="str">
        <f aca="false">IF(Model!AQ52=0,"",Model!AQ52)</f>
        <v/>
      </c>
      <c r="AT49" s="204" t="str">
        <f aca="false">IF(Model!AR52=0,"",Model!AR52)</f>
        <v/>
      </c>
      <c r="AU49" s="204" t="str">
        <f aca="false">IF(Model!AS52=0,"",Model!AS52)</f>
        <v/>
      </c>
      <c r="AV49" s="204" t="str">
        <f aca="false">IF(Model!AT52=0,"",Model!AT52)</f>
        <v/>
      </c>
      <c r="AW49" s="204" t="str">
        <f aca="false">IF(Model!AU52=0,"",Model!AU52)</f>
        <v/>
      </c>
      <c r="AX49" s="204" t="str">
        <f aca="false">IF(Model!AV52=0,"",Model!AV52)</f>
        <v/>
      </c>
      <c r="AY49" s="204" t="str">
        <f aca="false">IF(Model!AW52=0,"",Model!AW52)</f>
        <v/>
      </c>
      <c r="AZ49" s="204" t="str">
        <f aca="false">IF(Model!AX52=0,"",Model!AX52)</f>
        <v/>
      </c>
      <c r="BA49" s="204" t="str">
        <f aca="false">IF(Model!AY52=0,"",Model!AY52)</f>
        <v/>
      </c>
      <c r="BB49" s="204" t="str">
        <f aca="false">IF(Model!AZ52=0,"",Model!AZ52)</f>
        <v/>
      </c>
      <c r="BC49" s="204" t="str">
        <f aca="false">IF(Model!BA52=0,"",Model!BA52)</f>
        <v/>
      </c>
      <c r="BD49" s="204" t="str">
        <f aca="false">IF(Model!BB52=0,"",Model!BB52)</f>
        <v/>
      </c>
      <c r="BE49" s="204" t="str">
        <f aca="false">IF(Model!BC52=0,"",Model!BC52)</f>
        <v/>
      </c>
      <c r="BF49" s="204" t="str">
        <f aca="false">IF(Model!BD52=0,"",Model!BD52)</f>
        <v/>
      </c>
      <c r="BG49" s="204" t="str">
        <f aca="false">IF(Model!BE52=0,"",Model!BE52)</f>
        <v/>
      </c>
      <c r="BH49" s="204" t="str">
        <f aca="false">IF(Model!BF52=0,"",Model!BF52)</f>
        <v/>
      </c>
      <c r="BI49" s="204" t="str">
        <f aca="false">IF(Model!BG52=0,"",Model!BG52)</f>
        <v/>
      </c>
      <c r="BJ49" s="204" t="str">
        <f aca="false">IF(Model!BH52=0,"",Model!BH52)</f>
        <v/>
      </c>
      <c r="BK49" s="204" t="str">
        <f aca="false">IF(Model!BI52=0,"",Model!BI52)</f>
        <v/>
      </c>
      <c r="BL49" s="204" t="str">
        <f aca="false">IF(Model!BJ52=0,"",Model!BJ52)</f>
        <v/>
      </c>
      <c r="BM49" s="204" t="str">
        <f aca="false">IF(Model!BK52=0,"",Model!BK52)</f>
        <v/>
      </c>
      <c r="BN49" s="204" t="str">
        <f aca="false">IF(Model!BL52=0,"",Model!BL52)</f>
        <v/>
      </c>
      <c r="BO49" s="204" t="str">
        <f aca="false">IF(Model!BM52=0,"",Model!BM52)</f>
        <v/>
      </c>
      <c r="BP49" s="204" t="str">
        <f aca="false">IF(Model!BN52=0,"",Model!BN52)</f>
        <v/>
      </c>
      <c r="BQ49" s="204" t="str">
        <f aca="false">IF(Model!BO52=0,"",Model!BO52)</f>
        <v/>
      </c>
      <c r="BR49" s="204" t="str">
        <f aca="false">IF(Model!BP52=0,"",Model!BP52)</f>
        <v/>
      </c>
      <c r="BS49" s="204" t="str">
        <f aca="false">IF(Model!BQ52=0,"",Model!BQ52)</f>
        <v/>
      </c>
      <c r="BT49" s="204" t="str">
        <f aca="false">IF(Model!BR52=0,"",Model!BR52)</f>
        <v/>
      </c>
      <c r="BU49" s="204" t="str">
        <f aca="false">IF(Model!BS52=0,"",Model!BS52)</f>
        <v/>
      </c>
      <c r="BV49" s="204" t="str">
        <f aca="false">IF(Model!BT52=0,"",Model!BT52)</f>
        <v/>
      </c>
      <c r="BW49" s="204" t="str">
        <f aca="false">IF(Model!BU52=0,"",Model!BU52)</f>
        <v/>
      </c>
      <c r="BX49" s="204" t="str">
        <f aca="false">IF(Model!BV52=0,"",Model!BV52)</f>
        <v/>
      </c>
      <c r="BY49" s="204" t="str">
        <f aca="false">IF(Model!BW52=0,"",Model!BW52)</f>
        <v/>
      </c>
      <c r="BZ49" s="204" t="str">
        <f aca="false">IF(Model!BX52=0,"",Model!BX52)</f>
        <v/>
      </c>
      <c r="CA49" s="204" t="str">
        <f aca="false">IF(Model!BY52=0,"",Model!BY52)</f>
        <v/>
      </c>
      <c r="CB49" s="204" t="str">
        <f aca="false">IF(Model!BZ52=0,"",Model!BZ52)</f>
        <v/>
      </c>
      <c r="CC49" s="204" t="str">
        <f aca="false">IF(Model!CA52=0,"",Model!CA52)</f>
        <v/>
      </c>
      <c r="CD49" s="204" t="str">
        <f aca="false">IF(Model!CB52=0,"",Model!CB52)</f>
        <v/>
      </c>
      <c r="CE49" s="204" t="str">
        <f aca="false">IF(Model!CC52=0,"",Model!CC52)</f>
        <v/>
      </c>
      <c r="CF49" s="204" t="str">
        <f aca="false">IF(Model!CD52=0,"",Model!CD52)</f>
        <v/>
      </c>
      <c r="CG49" s="204" t="str">
        <f aca="false">IF(Model!CE52=0,"",Model!CE52)</f>
        <v/>
      </c>
      <c r="CH49" s="204" t="str">
        <f aca="false">IF(Model!CF52=0,"",Model!CF52)</f>
        <v/>
      </c>
      <c r="CI49" s="204" t="str">
        <f aca="false">IF(Model!CG52=0,"",Model!CG52)</f>
        <v/>
      </c>
      <c r="CJ49" s="204" t="str">
        <f aca="false">IF(Model!CH52=0,"",Model!CH52)</f>
        <v/>
      </c>
      <c r="CK49" s="204" t="str">
        <f aca="false">IF(Model!CI52=0,"",Model!CI52)</f>
        <v/>
      </c>
      <c r="CL49" s="204" t="str">
        <f aca="false">IF(Model!CJ52=0,"",Model!CJ52)</f>
        <v/>
      </c>
      <c r="CM49" s="204" t="str">
        <f aca="false">IF(Model!CK52=0,"",Model!CK52)</f>
        <v/>
      </c>
      <c r="CN49" s="204" t="str">
        <f aca="false">IF(Model!CL52=0,"",Model!CL52)</f>
        <v/>
      </c>
      <c r="CO49" s="204" t="str">
        <f aca="false">IF(Model!CM52=0,"",Model!CM52)</f>
        <v/>
      </c>
      <c r="CP49" s="204" t="str">
        <f aca="false">IF(Model!CN52=0,"",Model!CN52)</f>
        <v/>
      </c>
      <c r="CQ49" s="204" t="str">
        <f aca="false">IF(Model!CO52=0,"",Model!CO52)</f>
        <v/>
      </c>
      <c r="CR49" s="204" t="str">
        <f aca="false">IF(Model!CP52=0,"",Model!CP52)</f>
        <v/>
      </c>
      <c r="CS49" s="204" t="str">
        <f aca="false">IF(Model!CQ52=0,"",Model!CQ52)</f>
        <v/>
      </c>
      <c r="CT49" s="204" t="str">
        <f aca="false">IF(Model!CR52=0,"",Model!CR52)</f>
        <v/>
      </c>
      <c r="CU49" s="204" t="str">
        <f aca="false">IF(Model!CS52=0,"",Model!CS52)</f>
        <v/>
      </c>
      <c r="CV49" s="204" t="str">
        <f aca="false">IF(Model!CT52=0,"",Model!CT52)</f>
        <v/>
      </c>
      <c r="CW49" s="204" t="str">
        <f aca="false">IF(Model!CU52=0,"",Model!CU52)</f>
        <v/>
      </c>
      <c r="CX49" s="204" t="str">
        <f aca="false">IF(Model!CV52=0,"",Model!CV52)</f>
        <v/>
      </c>
      <c r="CY49" s="204" t="str">
        <f aca="false">IF(Model!CW52=0,"",Model!CW52)</f>
        <v/>
      </c>
      <c r="CZ49" s="204" t="str">
        <f aca="false">IF(Model!CX52=0,"",Model!CX52)</f>
        <v/>
      </c>
      <c r="DA49" s="204" t="str">
        <f aca="false">IF(Model!CY52=0,"",Model!CY52)</f>
        <v/>
      </c>
      <c r="DB49" s="204" t="str">
        <f aca="false">IF(Model!CZ52=0,"",Model!CZ52)</f>
        <v/>
      </c>
    </row>
    <row r="50" customFormat="false" ht="15" hidden="false" customHeight="true" outlineLevel="0" collapsed="false">
      <c r="A50" s="123" t="s">
        <v>47</v>
      </c>
      <c r="B50" s="201" t="n">
        <f aca="false">Projects!$B$44</f>
        <v>15000000</v>
      </c>
      <c r="C50" s="202" t="n">
        <f aca="false">EDATE(Model!$E$2,Projects!$C$44-1)</f>
        <v>48458</v>
      </c>
      <c r="D50" s="202" t="n">
        <f aca="false">EDATE(Model!$E$2,Projects!$C$44+Projects!$D$44-2)</f>
        <v>49004</v>
      </c>
      <c r="E50" s="203" t="n">
        <f aca="false">Projects!$D$44</f>
        <v>19</v>
      </c>
      <c r="F50" s="201" t="n">
        <f aca="false">SUM(G50:DB50)</f>
        <v>0</v>
      </c>
      <c r="G50" s="204" t="str">
        <f aca="false">IF(Model!E53=0,"",Model!E53)</f>
        <v/>
      </c>
      <c r="H50" s="204" t="str">
        <f aca="false">IF(Model!F53=0,"",Model!F53)</f>
        <v/>
      </c>
      <c r="I50" s="204" t="str">
        <f aca="false">IF(Model!G53=0,"",Model!G53)</f>
        <v/>
      </c>
      <c r="J50" s="204" t="str">
        <f aca="false">IF(Model!H53=0,"",Model!H53)</f>
        <v/>
      </c>
      <c r="K50" s="204" t="str">
        <f aca="false">IF(Model!I53=0,"",Model!I53)</f>
        <v/>
      </c>
      <c r="L50" s="204" t="str">
        <f aca="false">IF(Model!J53=0,"",Model!J53)</f>
        <v/>
      </c>
      <c r="M50" s="204" t="str">
        <f aca="false">IF(Model!K53=0,"",Model!K53)</f>
        <v/>
      </c>
      <c r="N50" s="204" t="str">
        <f aca="false">IF(Model!L53=0,"",Model!L53)</f>
        <v/>
      </c>
      <c r="O50" s="204" t="str">
        <f aca="false">IF(Model!M53=0,"",Model!M53)</f>
        <v/>
      </c>
      <c r="P50" s="204" t="str">
        <f aca="false">IF(Model!N53=0,"",Model!N53)</f>
        <v/>
      </c>
      <c r="Q50" s="204" t="str">
        <f aca="false">IF(Model!O53=0,"",Model!O53)</f>
        <v/>
      </c>
      <c r="R50" s="204" t="str">
        <f aca="false">IF(Model!P53=0,"",Model!P53)</f>
        <v/>
      </c>
      <c r="S50" s="204" t="str">
        <f aca="false">IF(Model!Q53=0,"",Model!Q53)</f>
        <v/>
      </c>
      <c r="T50" s="204" t="str">
        <f aca="false">IF(Model!R53=0,"",Model!R53)</f>
        <v/>
      </c>
      <c r="U50" s="204" t="str">
        <f aca="false">IF(Model!S53=0,"",Model!S53)</f>
        <v/>
      </c>
      <c r="V50" s="204" t="str">
        <f aca="false">IF(Model!T53=0,"",Model!T53)</f>
        <v/>
      </c>
      <c r="W50" s="204" t="str">
        <f aca="false">IF(Model!U53=0,"",Model!U53)</f>
        <v/>
      </c>
      <c r="X50" s="204" t="str">
        <f aca="false">IF(Model!V53=0,"",Model!V53)</f>
        <v/>
      </c>
      <c r="Y50" s="204" t="str">
        <f aca="false">IF(Model!W53=0,"",Model!W53)</f>
        <v/>
      </c>
      <c r="Z50" s="204" t="str">
        <f aca="false">IF(Model!X53=0,"",Model!X53)</f>
        <v/>
      </c>
      <c r="AA50" s="204" t="str">
        <f aca="false">IF(Model!Y53=0,"",Model!Y53)</f>
        <v/>
      </c>
      <c r="AB50" s="204" t="str">
        <f aca="false">IF(Model!Z53=0,"",Model!Z53)</f>
        <v/>
      </c>
      <c r="AC50" s="204" t="str">
        <f aca="false">IF(Model!AA53=0,"",Model!AA53)</f>
        <v/>
      </c>
      <c r="AD50" s="204" t="str">
        <f aca="false">IF(Model!AB53=0,"",Model!AB53)</f>
        <v/>
      </c>
      <c r="AE50" s="204" t="str">
        <f aca="false">IF(Model!AC53=0,"",Model!AC53)</f>
        <v/>
      </c>
      <c r="AF50" s="204" t="str">
        <f aca="false">IF(Model!AD53=0,"",Model!AD53)</f>
        <v/>
      </c>
      <c r="AG50" s="204" t="str">
        <f aca="false">IF(Model!AE53=0,"",Model!AE53)</f>
        <v/>
      </c>
      <c r="AH50" s="204" t="str">
        <f aca="false">IF(Model!AF53=0,"",Model!AF53)</f>
        <v/>
      </c>
      <c r="AI50" s="204" t="str">
        <f aca="false">IF(Model!AG53=0,"",Model!AG53)</f>
        <v/>
      </c>
      <c r="AJ50" s="204" t="str">
        <f aca="false">IF(Model!AH53=0,"",Model!AH53)</f>
        <v/>
      </c>
      <c r="AK50" s="204" t="str">
        <f aca="false">IF(Model!AI53=0,"",Model!AI53)</f>
        <v/>
      </c>
      <c r="AL50" s="204" t="str">
        <f aca="false">IF(Model!AJ53=0,"",Model!AJ53)</f>
        <v/>
      </c>
      <c r="AM50" s="204" t="str">
        <f aca="false">IF(Model!AK53=0,"",Model!AK53)</f>
        <v/>
      </c>
      <c r="AN50" s="204" t="str">
        <f aca="false">IF(Model!AL53=0,"",Model!AL53)</f>
        <v/>
      </c>
      <c r="AO50" s="204" t="str">
        <f aca="false">IF(Model!AM53=0,"",Model!AM53)</f>
        <v/>
      </c>
      <c r="AP50" s="204" t="str">
        <f aca="false">IF(Model!AN53=0,"",Model!AN53)</f>
        <v/>
      </c>
      <c r="AQ50" s="204" t="str">
        <f aca="false">IF(Model!AO53=0,"",Model!AO53)</f>
        <v/>
      </c>
      <c r="AR50" s="204" t="str">
        <f aca="false">IF(Model!AP53=0,"",Model!AP53)</f>
        <v/>
      </c>
      <c r="AS50" s="204" t="str">
        <f aca="false">IF(Model!AQ53=0,"",Model!AQ53)</f>
        <v/>
      </c>
      <c r="AT50" s="204" t="str">
        <f aca="false">IF(Model!AR53=0,"",Model!AR53)</f>
        <v/>
      </c>
      <c r="AU50" s="204" t="str">
        <f aca="false">IF(Model!AS53=0,"",Model!AS53)</f>
        <v/>
      </c>
      <c r="AV50" s="204" t="str">
        <f aca="false">IF(Model!AT53=0,"",Model!AT53)</f>
        <v/>
      </c>
      <c r="AW50" s="204" t="str">
        <f aca="false">IF(Model!AU53=0,"",Model!AU53)</f>
        <v/>
      </c>
      <c r="AX50" s="204" t="str">
        <f aca="false">IF(Model!AV53=0,"",Model!AV53)</f>
        <v/>
      </c>
      <c r="AY50" s="204" t="str">
        <f aca="false">IF(Model!AW53=0,"",Model!AW53)</f>
        <v/>
      </c>
      <c r="AZ50" s="204" t="str">
        <f aca="false">IF(Model!AX53=0,"",Model!AX53)</f>
        <v/>
      </c>
      <c r="BA50" s="204" t="str">
        <f aca="false">IF(Model!AY53=0,"",Model!AY53)</f>
        <v/>
      </c>
      <c r="BB50" s="204" t="str">
        <f aca="false">IF(Model!AZ53=0,"",Model!AZ53)</f>
        <v/>
      </c>
      <c r="BC50" s="204" t="str">
        <f aca="false">IF(Model!BA53=0,"",Model!BA53)</f>
        <v/>
      </c>
      <c r="BD50" s="204" t="str">
        <f aca="false">IF(Model!BB53=0,"",Model!BB53)</f>
        <v/>
      </c>
      <c r="BE50" s="204" t="str">
        <f aca="false">IF(Model!BC53=0,"",Model!BC53)</f>
        <v/>
      </c>
      <c r="BF50" s="204" t="str">
        <f aca="false">IF(Model!BD53=0,"",Model!BD53)</f>
        <v/>
      </c>
      <c r="BG50" s="204" t="str">
        <f aca="false">IF(Model!BE53=0,"",Model!BE53)</f>
        <v/>
      </c>
      <c r="BH50" s="204" t="str">
        <f aca="false">IF(Model!BF53=0,"",Model!BF53)</f>
        <v/>
      </c>
      <c r="BI50" s="204" t="str">
        <f aca="false">IF(Model!BG53=0,"",Model!BG53)</f>
        <v/>
      </c>
      <c r="BJ50" s="204" t="str">
        <f aca="false">IF(Model!BH53=0,"",Model!BH53)</f>
        <v/>
      </c>
      <c r="BK50" s="204" t="str">
        <f aca="false">IF(Model!BI53=0,"",Model!BI53)</f>
        <v/>
      </c>
      <c r="BL50" s="204" t="str">
        <f aca="false">IF(Model!BJ53=0,"",Model!BJ53)</f>
        <v/>
      </c>
      <c r="BM50" s="204" t="str">
        <f aca="false">IF(Model!BK53=0,"",Model!BK53)</f>
        <v/>
      </c>
      <c r="BN50" s="204" t="str">
        <f aca="false">IF(Model!BL53=0,"",Model!BL53)</f>
        <v/>
      </c>
      <c r="BO50" s="204" t="str">
        <f aca="false">IF(Model!BM53=0,"",Model!BM53)</f>
        <v/>
      </c>
      <c r="BP50" s="204" t="str">
        <f aca="false">IF(Model!BN53=0,"",Model!BN53)</f>
        <v/>
      </c>
      <c r="BQ50" s="204" t="str">
        <f aca="false">IF(Model!BO53=0,"",Model!BO53)</f>
        <v/>
      </c>
      <c r="BR50" s="204" t="str">
        <f aca="false">IF(Model!BP53=0,"",Model!BP53)</f>
        <v/>
      </c>
      <c r="BS50" s="204" t="str">
        <f aca="false">IF(Model!BQ53=0,"",Model!BQ53)</f>
        <v/>
      </c>
      <c r="BT50" s="204" t="str">
        <f aca="false">IF(Model!BR53=0,"",Model!BR53)</f>
        <v/>
      </c>
      <c r="BU50" s="204" t="str">
        <f aca="false">IF(Model!BS53=0,"",Model!BS53)</f>
        <v/>
      </c>
      <c r="BV50" s="204" t="str">
        <f aca="false">IF(Model!BT53=0,"",Model!BT53)</f>
        <v/>
      </c>
      <c r="BW50" s="204" t="str">
        <f aca="false">IF(Model!BU53=0,"",Model!BU53)</f>
        <v/>
      </c>
      <c r="BX50" s="204" t="str">
        <f aca="false">IF(Model!BV53=0,"",Model!BV53)</f>
        <v/>
      </c>
      <c r="BY50" s="204" t="str">
        <f aca="false">IF(Model!BW53=0,"",Model!BW53)</f>
        <v/>
      </c>
      <c r="BZ50" s="204" t="str">
        <f aca="false">IF(Model!BX53=0,"",Model!BX53)</f>
        <v/>
      </c>
      <c r="CA50" s="204" t="str">
        <f aca="false">IF(Model!BY53=0,"",Model!BY53)</f>
        <v/>
      </c>
      <c r="CB50" s="204" t="str">
        <f aca="false">IF(Model!BZ53=0,"",Model!BZ53)</f>
        <v/>
      </c>
      <c r="CC50" s="204" t="str">
        <f aca="false">IF(Model!CA53=0,"",Model!CA53)</f>
        <v/>
      </c>
      <c r="CD50" s="204" t="str">
        <f aca="false">IF(Model!CB53=0,"",Model!CB53)</f>
        <v/>
      </c>
      <c r="CE50" s="204" t="str">
        <f aca="false">IF(Model!CC53=0,"",Model!CC53)</f>
        <v/>
      </c>
      <c r="CF50" s="204" t="str">
        <f aca="false">IF(Model!CD53=0,"",Model!CD53)</f>
        <v/>
      </c>
      <c r="CG50" s="204" t="str">
        <f aca="false">IF(Model!CE53=0,"",Model!CE53)</f>
        <v/>
      </c>
      <c r="CH50" s="204" t="str">
        <f aca="false">IF(Model!CF53=0,"",Model!CF53)</f>
        <v/>
      </c>
      <c r="CI50" s="204" t="str">
        <f aca="false">IF(Model!CG53=0,"",Model!CG53)</f>
        <v/>
      </c>
      <c r="CJ50" s="204" t="str">
        <f aca="false">IF(Model!CH53=0,"",Model!CH53)</f>
        <v/>
      </c>
      <c r="CK50" s="204" t="str">
        <f aca="false">IF(Model!CI53=0,"",Model!CI53)</f>
        <v/>
      </c>
      <c r="CL50" s="204" t="str">
        <f aca="false">IF(Model!CJ53=0,"",Model!CJ53)</f>
        <v/>
      </c>
      <c r="CM50" s="204" t="str">
        <f aca="false">IF(Model!CK53=0,"",Model!CK53)</f>
        <v/>
      </c>
      <c r="CN50" s="204" t="str">
        <f aca="false">IF(Model!CL53=0,"",Model!CL53)</f>
        <v/>
      </c>
      <c r="CO50" s="204" t="str">
        <f aca="false">IF(Model!CM53=0,"",Model!CM53)</f>
        <v/>
      </c>
      <c r="CP50" s="204" t="str">
        <f aca="false">IF(Model!CN53=0,"",Model!CN53)</f>
        <v/>
      </c>
      <c r="CQ50" s="204" t="str">
        <f aca="false">IF(Model!CO53=0,"",Model!CO53)</f>
        <v/>
      </c>
      <c r="CR50" s="204" t="str">
        <f aca="false">IF(Model!CP53=0,"",Model!CP53)</f>
        <v/>
      </c>
      <c r="CS50" s="204" t="str">
        <f aca="false">IF(Model!CQ53=0,"",Model!CQ53)</f>
        <v/>
      </c>
      <c r="CT50" s="204" t="str">
        <f aca="false">IF(Model!CR53=0,"",Model!CR53)</f>
        <v/>
      </c>
      <c r="CU50" s="204" t="str">
        <f aca="false">IF(Model!CS53=0,"",Model!CS53)</f>
        <v/>
      </c>
      <c r="CV50" s="204" t="str">
        <f aca="false">IF(Model!CT53=0,"",Model!CT53)</f>
        <v/>
      </c>
      <c r="CW50" s="204" t="str">
        <f aca="false">IF(Model!CU53=0,"",Model!CU53)</f>
        <v/>
      </c>
      <c r="CX50" s="204" t="str">
        <f aca="false">IF(Model!CV53=0,"",Model!CV53)</f>
        <v/>
      </c>
      <c r="CY50" s="204" t="str">
        <f aca="false">IF(Model!CW53=0,"",Model!CW53)</f>
        <v/>
      </c>
      <c r="CZ50" s="204" t="str">
        <f aca="false">IF(Model!CX53=0,"",Model!CX53)</f>
        <v/>
      </c>
      <c r="DA50" s="204" t="str">
        <f aca="false">IF(Model!CY53=0,"",Model!CY53)</f>
        <v/>
      </c>
      <c r="DB50" s="204" t="str">
        <f aca="false">IF(Model!CZ53=0,"",Model!CZ53)</f>
        <v/>
      </c>
    </row>
    <row r="51" customFormat="false" ht="15" hidden="false" customHeight="true" outlineLevel="0" collapsed="false">
      <c r="A51" s="123" t="s">
        <v>48</v>
      </c>
      <c r="B51" s="201" t="n">
        <f aca="false">Projects!$B$45</f>
        <v>18000000</v>
      </c>
      <c r="C51" s="202" t="n">
        <f aca="false">EDATE(Model!$E$2,Projects!$C$45-1)</f>
        <v>48519</v>
      </c>
      <c r="D51" s="202" t="n">
        <f aca="false">EDATE(Model!$E$2,Projects!$C$45+Projects!$D$45-2)</f>
        <v>49065</v>
      </c>
      <c r="E51" s="203" t="n">
        <f aca="false">Projects!$D$45</f>
        <v>19</v>
      </c>
      <c r="F51" s="201" t="n">
        <f aca="false">SUM(G51:DB51)</f>
        <v>0</v>
      </c>
      <c r="G51" s="204" t="str">
        <f aca="false">IF(Model!E54=0,"",Model!E54)</f>
        <v/>
      </c>
      <c r="H51" s="204" t="str">
        <f aca="false">IF(Model!F54=0,"",Model!F54)</f>
        <v/>
      </c>
      <c r="I51" s="204" t="str">
        <f aca="false">IF(Model!G54=0,"",Model!G54)</f>
        <v/>
      </c>
      <c r="J51" s="204" t="str">
        <f aca="false">IF(Model!H54=0,"",Model!H54)</f>
        <v/>
      </c>
      <c r="K51" s="204" t="str">
        <f aca="false">IF(Model!I54=0,"",Model!I54)</f>
        <v/>
      </c>
      <c r="L51" s="204" t="str">
        <f aca="false">IF(Model!J54=0,"",Model!J54)</f>
        <v/>
      </c>
      <c r="M51" s="204" t="str">
        <f aca="false">IF(Model!K54=0,"",Model!K54)</f>
        <v/>
      </c>
      <c r="N51" s="204" t="str">
        <f aca="false">IF(Model!L54=0,"",Model!L54)</f>
        <v/>
      </c>
      <c r="O51" s="204" t="str">
        <f aca="false">IF(Model!M54=0,"",Model!M54)</f>
        <v/>
      </c>
      <c r="P51" s="204" t="str">
        <f aca="false">IF(Model!N54=0,"",Model!N54)</f>
        <v/>
      </c>
      <c r="Q51" s="204" t="str">
        <f aca="false">IF(Model!O54=0,"",Model!O54)</f>
        <v/>
      </c>
      <c r="R51" s="204" t="str">
        <f aca="false">IF(Model!P54=0,"",Model!P54)</f>
        <v/>
      </c>
      <c r="S51" s="204" t="str">
        <f aca="false">IF(Model!Q54=0,"",Model!Q54)</f>
        <v/>
      </c>
      <c r="T51" s="204" t="str">
        <f aca="false">IF(Model!R54=0,"",Model!R54)</f>
        <v/>
      </c>
      <c r="U51" s="204" t="str">
        <f aca="false">IF(Model!S54=0,"",Model!S54)</f>
        <v/>
      </c>
      <c r="V51" s="204" t="str">
        <f aca="false">IF(Model!T54=0,"",Model!T54)</f>
        <v/>
      </c>
      <c r="W51" s="204" t="str">
        <f aca="false">IF(Model!U54=0,"",Model!U54)</f>
        <v/>
      </c>
      <c r="X51" s="204" t="str">
        <f aca="false">IF(Model!V54=0,"",Model!V54)</f>
        <v/>
      </c>
      <c r="Y51" s="204" t="str">
        <f aca="false">IF(Model!W54=0,"",Model!W54)</f>
        <v/>
      </c>
      <c r="Z51" s="204" t="str">
        <f aca="false">IF(Model!X54=0,"",Model!X54)</f>
        <v/>
      </c>
      <c r="AA51" s="204" t="str">
        <f aca="false">IF(Model!Y54=0,"",Model!Y54)</f>
        <v/>
      </c>
      <c r="AB51" s="204" t="str">
        <f aca="false">IF(Model!Z54=0,"",Model!Z54)</f>
        <v/>
      </c>
      <c r="AC51" s="204" t="str">
        <f aca="false">IF(Model!AA54=0,"",Model!AA54)</f>
        <v/>
      </c>
      <c r="AD51" s="204" t="str">
        <f aca="false">IF(Model!AB54=0,"",Model!AB54)</f>
        <v/>
      </c>
      <c r="AE51" s="204" t="str">
        <f aca="false">IF(Model!AC54=0,"",Model!AC54)</f>
        <v/>
      </c>
      <c r="AF51" s="204" t="str">
        <f aca="false">IF(Model!AD54=0,"",Model!AD54)</f>
        <v/>
      </c>
      <c r="AG51" s="204" t="str">
        <f aca="false">IF(Model!AE54=0,"",Model!AE54)</f>
        <v/>
      </c>
      <c r="AH51" s="204" t="str">
        <f aca="false">IF(Model!AF54=0,"",Model!AF54)</f>
        <v/>
      </c>
      <c r="AI51" s="204" t="str">
        <f aca="false">IF(Model!AG54=0,"",Model!AG54)</f>
        <v/>
      </c>
      <c r="AJ51" s="204" t="str">
        <f aca="false">IF(Model!AH54=0,"",Model!AH54)</f>
        <v/>
      </c>
      <c r="AK51" s="204" t="str">
        <f aca="false">IF(Model!AI54=0,"",Model!AI54)</f>
        <v/>
      </c>
      <c r="AL51" s="204" t="str">
        <f aca="false">IF(Model!AJ54=0,"",Model!AJ54)</f>
        <v/>
      </c>
      <c r="AM51" s="204" t="str">
        <f aca="false">IF(Model!AK54=0,"",Model!AK54)</f>
        <v/>
      </c>
      <c r="AN51" s="204" t="str">
        <f aca="false">IF(Model!AL54=0,"",Model!AL54)</f>
        <v/>
      </c>
      <c r="AO51" s="204" t="str">
        <f aca="false">IF(Model!AM54=0,"",Model!AM54)</f>
        <v/>
      </c>
      <c r="AP51" s="204" t="str">
        <f aca="false">IF(Model!AN54=0,"",Model!AN54)</f>
        <v/>
      </c>
      <c r="AQ51" s="204" t="str">
        <f aca="false">IF(Model!AO54=0,"",Model!AO54)</f>
        <v/>
      </c>
      <c r="AR51" s="204" t="str">
        <f aca="false">IF(Model!AP54=0,"",Model!AP54)</f>
        <v/>
      </c>
      <c r="AS51" s="204" t="str">
        <f aca="false">IF(Model!AQ54=0,"",Model!AQ54)</f>
        <v/>
      </c>
      <c r="AT51" s="204" t="str">
        <f aca="false">IF(Model!AR54=0,"",Model!AR54)</f>
        <v/>
      </c>
      <c r="AU51" s="204" t="str">
        <f aca="false">IF(Model!AS54=0,"",Model!AS54)</f>
        <v/>
      </c>
      <c r="AV51" s="204" t="str">
        <f aca="false">IF(Model!AT54=0,"",Model!AT54)</f>
        <v/>
      </c>
      <c r="AW51" s="204" t="str">
        <f aca="false">IF(Model!AU54=0,"",Model!AU54)</f>
        <v/>
      </c>
      <c r="AX51" s="204" t="str">
        <f aca="false">IF(Model!AV54=0,"",Model!AV54)</f>
        <v/>
      </c>
      <c r="AY51" s="204" t="str">
        <f aca="false">IF(Model!AW54=0,"",Model!AW54)</f>
        <v/>
      </c>
      <c r="AZ51" s="204" t="str">
        <f aca="false">IF(Model!AX54=0,"",Model!AX54)</f>
        <v/>
      </c>
      <c r="BA51" s="204" t="str">
        <f aca="false">IF(Model!AY54=0,"",Model!AY54)</f>
        <v/>
      </c>
      <c r="BB51" s="204" t="str">
        <f aca="false">IF(Model!AZ54=0,"",Model!AZ54)</f>
        <v/>
      </c>
      <c r="BC51" s="204" t="str">
        <f aca="false">IF(Model!BA54=0,"",Model!BA54)</f>
        <v/>
      </c>
      <c r="BD51" s="204" t="str">
        <f aca="false">IF(Model!BB54=0,"",Model!BB54)</f>
        <v/>
      </c>
      <c r="BE51" s="204" t="str">
        <f aca="false">IF(Model!BC54=0,"",Model!BC54)</f>
        <v/>
      </c>
      <c r="BF51" s="204" t="str">
        <f aca="false">IF(Model!BD54=0,"",Model!BD54)</f>
        <v/>
      </c>
      <c r="BG51" s="204" t="str">
        <f aca="false">IF(Model!BE54=0,"",Model!BE54)</f>
        <v/>
      </c>
      <c r="BH51" s="204" t="str">
        <f aca="false">IF(Model!BF54=0,"",Model!BF54)</f>
        <v/>
      </c>
      <c r="BI51" s="204" t="str">
        <f aca="false">IF(Model!BG54=0,"",Model!BG54)</f>
        <v/>
      </c>
      <c r="BJ51" s="204" t="str">
        <f aca="false">IF(Model!BH54=0,"",Model!BH54)</f>
        <v/>
      </c>
      <c r="BK51" s="204" t="str">
        <f aca="false">IF(Model!BI54=0,"",Model!BI54)</f>
        <v/>
      </c>
      <c r="BL51" s="204" t="str">
        <f aca="false">IF(Model!BJ54=0,"",Model!BJ54)</f>
        <v/>
      </c>
      <c r="BM51" s="204" t="str">
        <f aca="false">IF(Model!BK54=0,"",Model!BK54)</f>
        <v/>
      </c>
      <c r="BN51" s="204" t="str">
        <f aca="false">IF(Model!BL54=0,"",Model!BL54)</f>
        <v/>
      </c>
      <c r="BO51" s="204" t="str">
        <f aca="false">IF(Model!BM54=0,"",Model!BM54)</f>
        <v/>
      </c>
      <c r="BP51" s="204" t="str">
        <f aca="false">IF(Model!BN54=0,"",Model!BN54)</f>
        <v/>
      </c>
      <c r="BQ51" s="204" t="str">
        <f aca="false">IF(Model!BO54=0,"",Model!BO54)</f>
        <v/>
      </c>
      <c r="BR51" s="204" t="str">
        <f aca="false">IF(Model!BP54=0,"",Model!BP54)</f>
        <v/>
      </c>
      <c r="BS51" s="204" t="str">
        <f aca="false">IF(Model!BQ54=0,"",Model!BQ54)</f>
        <v/>
      </c>
      <c r="BT51" s="204" t="str">
        <f aca="false">IF(Model!BR54=0,"",Model!BR54)</f>
        <v/>
      </c>
      <c r="BU51" s="204" t="str">
        <f aca="false">IF(Model!BS54=0,"",Model!BS54)</f>
        <v/>
      </c>
      <c r="BV51" s="204" t="str">
        <f aca="false">IF(Model!BT54=0,"",Model!BT54)</f>
        <v/>
      </c>
      <c r="BW51" s="204" t="str">
        <f aca="false">IF(Model!BU54=0,"",Model!BU54)</f>
        <v/>
      </c>
      <c r="BX51" s="204" t="str">
        <f aca="false">IF(Model!BV54=0,"",Model!BV54)</f>
        <v/>
      </c>
      <c r="BY51" s="204" t="str">
        <f aca="false">IF(Model!BW54=0,"",Model!BW54)</f>
        <v/>
      </c>
      <c r="BZ51" s="204" t="str">
        <f aca="false">IF(Model!BX54=0,"",Model!BX54)</f>
        <v/>
      </c>
      <c r="CA51" s="204" t="str">
        <f aca="false">IF(Model!BY54=0,"",Model!BY54)</f>
        <v/>
      </c>
      <c r="CB51" s="204" t="str">
        <f aca="false">IF(Model!BZ54=0,"",Model!BZ54)</f>
        <v/>
      </c>
      <c r="CC51" s="204" t="str">
        <f aca="false">IF(Model!CA54=0,"",Model!CA54)</f>
        <v/>
      </c>
      <c r="CD51" s="204" t="str">
        <f aca="false">IF(Model!CB54=0,"",Model!CB54)</f>
        <v/>
      </c>
      <c r="CE51" s="204" t="str">
        <f aca="false">IF(Model!CC54=0,"",Model!CC54)</f>
        <v/>
      </c>
      <c r="CF51" s="204" t="str">
        <f aca="false">IF(Model!CD54=0,"",Model!CD54)</f>
        <v/>
      </c>
      <c r="CG51" s="204" t="str">
        <f aca="false">IF(Model!CE54=0,"",Model!CE54)</f>
        <v/>
      </c>
      <c r="CH51" s="204" t="str">
        <f aca="false">IF(Model!CF54=0,"",Model!CF54)</f>
        <v/>
      </c>
      <c r="CI51" s="204" t="str">
        <f aca="false">IF(Model!CG54=0,"",Model!CG54)</f>
        <v/>
      </c>
      <c r="CJ51" s="204" t="str">
        <f aca="false">IF(Model!CH54=0,"",Model!CH54)</f>
        <v/>
      </c>
      <c r="CK51" s="204" t="str">
        <f aca="false">IF(Model!CI54=0,"",Model!CI54)</f>
        <v/>
      </c>
      <c r="CL51" s="204" t="str">
        <f aca="false">IF(Model!CJ54=0,"",Model!CJ54)</f>
        <v/>
      </c>
      <c r="CM51" s="204" t="str">
        <f aca="false">IF(Model!CK54=0,"",Model!CK54)</f>
        <v/>
      </c>
      <c r="CN51" s="204" t="str">
        <f aca="false">IF(Model!CL54=0,"",Model!CL54)</f>
        <v/>
      </c>
      <c r="CO51" s="204" t="str">
        <f aca="false">IF(Model!CM54=0,"",Model!CM54)</f>
        <v/>
      </c>
      <c r="CP51" s="204" t="str">
        <f aca="false">IF(Model!CN54=0,"",Model!CN54)</f>
        <v/>
      </c>
      <c r="CQ51" s="204" t="str">
        <f aca="false">IF(Model!CO54=0,"",Model!CO54)</f>
        <v/>
      </c>
      <c r="CR51" s="204" t="str">
        <f aca="false">IF(Model!CP54=0,"",Model!CP54)</f>
        <v/>
      </c>
      <c r="CS51" s="204" t="str">
        <f aca="false">IF(Model!CQ54=0,"",Model!CQ54)</f>
        <v/>
      </c>
      <c r="CT51" s="204" t="str">
        <f aca="false">IF(Model!CR54=0,"",Model!CR54)</f>
        <v/>
      </c>
      <c r="CU51" s="204" t="str">
        <f aca="false">IF(Model!CS54=0,"",Model!CS54)</f>
        <v/>
      </c>
      <c r="CV51" s="204" t="str">
        <f aca="false">IF(Model!CT54=0,"",Model!CT54)</f>
        <v/>
      </c>
      <c r="CW51" s="204" t="str">
        <f aca="false">IF(Model!CU54=0,"",Model!CU54)</f>
        <v/>
      </c>
      <c r="CX51" s="204" t="str">
        <f aca="false">IF(Model!CV54=0,"",Model!CV54)</f>
        <v/>
      </c>
      <c r="CY51" s="204" t="str">
        <f aca="false">IF(Model!CW54=0,"",Model!CW54)</f>
        <v/>
      </c>
      <c r="CZ51" s="204" t="str">
        <f aca="false">IF(Model!CX54=0,"",Model!CX54)</f>
        <v/>
      </c>
      <c r="DA51" s="204" t="str">
        <f aca="false">IF(Model!CY54=0,"",Model!CY54)</f>
        <v/>
      </c>
      <c r="DB51" s="204" t="str">
        <f aca="false">IF(Model!CZ54=0,"",Model!CZ54)</f>
        <v/>
      </c>
    </row>
    <row r="52" customFormat="false" ht="15" hidden="false" customHeight="true" outlineLevel="0" collapsed="false">
      <c r="A52" s="123" t="s">
        <v>49</v>
      </c>
      <c r="B52" s="201" t="n">
        <f aca="false">Projects!$B$46</f>
        <v>15000000</v>
      </c>
      <c r="C52" s="202" t="n">
        <f aca="false">EDATE(Model!$E$2,Projects!$C$46-1)</f>
        <v>48580</v>
      </c>
      <c r="D52" s="202" t="n">
        <f aca="false">EDATE(Model!$E$2,Projects!$C$46+Projects!$D$46-2)</f>
        <v>49126</v>
      </c>
      <c r="E52" s="203" t="n">
        <f aca="false">Projects!$D$46</f>
        <v>19</v>
      </c>
      <c r="F52" s="201" t="n">
        <f aca="false">SUM(G52:DB52)</f>
        <v>0</v>
      </c>
      <c r="G52" s="204" t="str">
        <f aca="false">IF(Model!E55=0,"",Model!E55)</f>
        <v/>
      </c>
      <c r="H52" s="204" t="str">
        <f aca="false">IF(Model!F55=0,"",Model!F55)</f>
        <v/>
      </c>
      <c r="I52" s="204" t="str">
        <f aca="false">IF(Model!G55=0,"",Model!G55)</f>
        <v/>
      </c>
      <c r="J52" s="204" t="str">
        <f aca="false">IF(Model!H55=0,"",Model!H55)</f>
        <v/>
      </c>
      <c r="K52" s="204" t="str">
        <f aca="false">IF(Model!I55=0,"",Model!I55)</f>
        <v/>
      </c>
      <c r="L52" s="204" t="str">
        <f aca="false">IF(Model!J55=0,"",Model!J55)</f>
        <v/>
      </c>
      <c r="M52" s="204" t="str">
        <f aca="false">IF(Model!K55=0,"",Model!K55)</f>
        <v/>
      </c>
      <c r="N52" s="204" t="str">
        <f aca="false">IF(Model!L55=0,"",Model!L55)</f>
        <v/>
      </c>
      <c r="O52" s="204" t="str">
        <f aca="false">IF(Model!M55=0,"",Model!M55)</f>
        <v/>
      </c>
      <c r="P52" s="204" t="str">
        <f aca="false">IF(Model!N55=0,"",Model!N55)</f>
        <v/>
      </c>
      <c r="Q52" s="204" t="str">
        <f aca="false">IF(Model!O55=0,"",Model!O55)</f>
        <v/>
      </c>
      <c r="R52" s="204" t="str">
        <f aca="false">IF(Model!P55=0,"",Model!P55)</f>
        <v/>
      </c>
      <c r="S52" s="204" t="str">
        <f aca="false">IF(Model!Q55=0,"",Model!Q55)</f>
        <v/>
      </c>
      <c r="T52" s="204" t="str">
        <f aca="false">IF(Model!R55=0,"",Model!R55)</f>
        <v/>
      </c>
      <c r="U52" s="204" t="str">
        <f aca="false">IF(Model!S55=0,"",Model!S55)</f>
        <v/>
      </c>
      <c r="V52" s="204" t="str">
        <f aca="false">IF(Model!T55=0,"",Model!T55)</f>
        <v/>
      </c>
      <c r="W52" s="204" t="str">
        <f aca="false">IF(Model!U55=0,"",Model!U55)</f>
        <v/>
      </c>
      <c r="X52" s="204" t="str">
        <f aca="false">IF(Model!V55=0,"",Model!V55)</f>
        <v/>
      </c>
      <c r="Y52" s="204" t="str">
        <f aca="false">IF(Model!W55=0,"",Model!W55)</f>
        <v/>
      </c>
      <c r="Z52" s="204" t="str">
        <f aca="false">IF(Model!X55=0,"",Model!X55)</f>
        <v/>
      </c>
      <c r="AA52" s="204" t="str">
        <f aca="false">IF(Model!Y55=0,"",Model!Y55)</f>
        <v/>
      </c>
      <c r="AB52" s="204" t="str">
        <f aca="false">IF(Model!Z55=0,"",Model!Z55)</f>
        <v/>
      </c>
      <c r="AC52" s="204" t="str">
        <f aca="false">IF(Model!AA55=0,"",Model!AA55)</f>
        <v/>
      </c>
      <c r="AD52" s="204" t="str">
        <f aca="false">IF(Model!AB55=0,"",Model!AB55)</f>
        <v/>
      </c>
      <c r="AE52" s="204" t="str">
        <f aca="false">IF(Model!AC55=0,"",Model!AC55)</f>
        <v/>
      </c>
      <c r="AF52" s="204" t="str">
        <f aca="false">IF(Model!AD55=0,"",Model!AD55)</f>
        <v/>
      </c>
      <c r="AG52" s="204" t="str">
        <f aca="false">IF(Model!AE55=0,"",Model!AE55)</f>
        <v/>
      </c>
      <c r="AH52" s="204" t="str">
        <f aca="false">IF(Model!AF55=0,"",Model!AF55)</f>
        <v/>
      </c>
      <c r="AI52" s="204" t="str">
        <f aca="false">IF(Model!AG55=0,"",Model!AG55)</f>
        <v/>
      </c>
      <c r="AJ52" s="204" t="str">
        <f aca="false">IF(Model!AH55=0,"",Model!AH55)</f>
        <v/>
      </c>
      <c r="AK52" s="204" t="str">
        <f aca="false">IF(Model!AI55=0,"",Model!AI55)</f>
        <v/>
      </c>
      <c r="AL52" s="204" t="str">
        <f aca="false">IF(Model!AJ55=0,"",Model!AJ55)</f>
        <v/>
      </c>
      <c r="AM52" s="204" t="str">
        <f aca="false">IF(Model!AK55=0,"",Model!AK55)</f>
        <v/>
      </c>
      <c r="AN52" s="204" t="str">
        <f aca="false">IF(Model!AL55=0,"",Model!AL55)</f>
        <v/>
      </c>
      <c r="AO52" s="204" t="str">
        <f aca="false">IF(Model!AM55=0,"",Model!AM55)</f>
        <v/>
      </c>
      <c r="AP52" s="204" t="str">
        <f aca="false">IF(Model!AN55=0,"",Model!AN55)</f>
        <v/>
      </c>
      <c r="AQ52" s="204" t="str">
        <f aca="false">IF(Model!AO55=0,"",Model!AO55)</f>
        <v/>
      </c>
      <c r="AR52" s="204" t="str">
        <f aca="false">IF(Model!AP55=0,"",Model!AP55)</f>
        <v/>
      </c>
      <c r="AS52" s="204" t="str">
        <f aca="false">IF(Model!AQ55=0,"",Model!AQ55)</f>
        <v/>
      </c>
      <c r="AT52" s="204" t="str">
        <f aca="false">IF(Model!AR55=0,"",Model!AR55)</f>
        <v/>
      </c>
      <c r="AU52" s="204" t="str">
        <f aca="false">IF(Model!AS55=0,"",Model!AS55)</f>
        <v/>
      </c>
      <c r="AV52" s="204" t="str">
        <f aca="false">IF(Model!AT55=0,"",Model!AT55)</f>
        <v/>
      </c>
      <c r="AW52" s="204" t="str">
        <f aca="false">IF(Model!AU55=0,"",Model!AU55)</f>
        <v/>
      </c>
      <c r="AX52" s="204" t="str">
        <f aca="false">IF(Model!AV55=0,"",Model!AV55)</f>
        <v/>
      </c>
      <c r="AY52" s="204" t="str">
        <f aca="false">IF(Model!AW55=0,"",Model!AW55)</f>
        <v/>
      </c>
      <c r="AZ52" s="204" t="str">
        <f aca="false">IF(Model!AX55=0,"",Model!AX55)</f>
        <v/>
      </c>
      <c r="BA52" s="204" t="str">
        <f aca="false">IF(Model!AY55=0,"",Model!AY55)</f>
        <v/>
      </c>
      <c r="BB52" s="204" t="str">
        <f aca="false">IF(Model!AZ55=0,"",Model!AZ55)</f>
        <v/>
      </c>
      <c r="BC52" s="204" t="str">
        <f aca="false">IF(Model!BA55=0,"",Model!BA55)</f>
        <v/>
      </c>
      <c r="BD52" s="204" t="str">
        <f aca="false">IF(Model!BB55=0,"",Model!BB55)</f>
        <v/>
      </c>
      <c r="BE52" s="204" t="str">
        <f aca="false">IF(Model!BC55=0,"",Model!BC55)</f>
        <v/>
      </c>
      <c r="BF52" s="204" t="str">
        <f aca="false">IF(Model!BD55=0,"",Model!BD55)</f>
        <v/>
      </c>
      <c r="BG52" s="204" t="str">
        <f aca="false">IF(Model!BE55=0,"",Model!BE55)</f>
        <v/>
      </c>
      <c r="BH52" s="204" t="str">
        <f aca="false">IF(Model!BF55=0,"",Model!BF55)</f>
        <v/>
      </c>
      <c r="BI52" s="204" t="str">
        <f aca="false">IF(Model!BG55=0,"",Model!BG55)</f>
        <v/>
      </c>
      <c r="BJ52" s="204" t="str">
        <f aca="false">IF(Model!BH55=0,"",Model!BH55)</f>
        <v/>
      </c>
      <c r="BK52" s="204" t="str">
        <f aca="false">IF(Model!BI55=0,"",Model!BI55)</f>
        <v/>
      </c>
      <c r="BL52" s="204" t="str">
        <f aca="false">IF(Model!BJ55=0,"",Model!BJ55)</f>
        <v/>
      </c>
      <c r="BM52" s="204" t="str">
        <f aca="false">IF(Model!BK55=0,"",Model!BK55)</f>
        <v/>
      </c>
      <c r="BN52" s="204" t="str">
        <f aca="false">IF(Model!BL55=0,"",Model!BL55)</f>
        <v/>
      </c>
      <c r="BO52" s="204" t="str">
        <f aca="false">IF(Model!BM55=0,"",Model!BM55)</f>
        <v/>
      </c>
      <c r="BP52" s="204" t="str">
        <f aca="false">IF(Model!BN55=0,"",Model!BN55)</f>
        <v/>
      </c>
      <c r="BQ52" s="204" t="str">
        <f aca="false">IF(Model!BO55=0,"",Model!BO55)</f>
        <v/>
      </c>
      <c r="BR52" s="204" t="str">
        <f aca="false">IF(Model!BP55=0,"",Model!BP55)</f>
        <v/>
      </c>
      <c r="BS52" s="204" t="str">
        <f aca="false">IF(Model!BQ55=0,"",Model!BQ55)</f>
        <v/>
      </c>
      <c r="BT52" s="204" t="str">
        <f aca="false">IF(Model!BR55=0,"",Model!BR55)</f>
        <v/>
      </c>
      <c r="BU52" s="204" t="str">
        <f aca="false">IF(Model!BS55=0,"",Model!BS55)</f>
        <v/>
      </c>
      <c r="BV52" s="204" t="str">
        <f aca="false">IF(Model!BT55=0,"",Model!BT55)</f>
        <v/>
      </c>
      <c r="BW52" s="204" t="str">
        <f aca="false">IF(Model!BU55=0,"",Model!BU55)</f>
        <v/>
      </c>
      <c r="BX52" s="204" t="str">
        <f aca="false">IF(Model!BV55=0,"",Model!BV55)</f>
        <v/>
      </c>
      <c r="BY52" s="204" t="str">
        <f aca="false">IF(Model!BW55=0,"",Model!BW55)</f>
        <v/>
      </c>
      <c r="BZ52" s="204" t="str">
        <f aca="false">IF(Model!BX55=0,"",Model!BX55)</f>
        <v/>
      </c>
      <c r="CA52" s="204" t="str">
        <f aca="false">IF(Model!BY55=0,"",Model!BY55)</f>
        <v/>
      </c>
      <c r="CB52" s="204" t="str">
        <f aca="false">IF(Model!BZ55=0,"",Model!BZ55)</f>
        <v/>
      </c>
      <c r="CC52" s="204" t="str">
        <f aca="false">IF(Model!CA55=0,"",Model!CA55)</f>
        <v/>
      </c>
      <c r="CD52" s="204" t="str">
        <f aca="false">IF(Model!CB55=0,"",Model!CB55)</f>
        <v/>
      </c>
      <c r="CE52" s="204" t="str">
        <f aca="false">IF(Model!CC55=0,"",Model!CC55)</f>
        <v/>
      </c>
      <c r="CF52" s="204" t="str">
        <f aca="false">IF(Model!CD55=0,"",Model!CD55)</f>
        <v/>
      </c>
      <c r="CG52" s="204" t="str">
        <f aca="false">IF(Model!CE55=0,"",Model!CE55)</f>
        <v/>
      </c>
      <c r="CH52" s="204" t="str">
        <f aca="false">IF(Model!CF55=0,"",Model!CF55)</f>
        <v/>
      </c>
      <c r="CI52" s="204" t="str">
        <f aca="false">IF(Model!CG55=0,"",Model!CG55)</f>
        <v/>
      </c>
      <c r="CJ52" s="204" t="str">
        <f aca="false">IF(Model!CH55=0,"",Model!CH55)</f>
        <v/>
      </c>
      <c r="CK52" s="204" t="str">
        <f aca="false">IF(Model!CI55=0,"",Model!CI55)</f>
        <v/>
      </c>
      <c r="CL52" s="204" t="str">
        <f aca="false">IF(Model!CJ55=0,"",Model!CJ55)</f>
        <v/>
      </c>
      <c r="CM52" s="204" t="str">
        <f aca="false">IF(Model!CK55=0,"",Model!CK55)</f>
        <v/>
      </c>
      <c r="CN52" s="204" t="str">
        <f aca="false">IF(Model!CL55=0,"",Model!CL55)</f>
        <v/>
      </c>
      <c r="CO52" s="204" t="str">
        <f aca="false">IF(Model!CM55=0,"",Model!CM55)</f>
        <v/>
      </c>
      <c r="CP52" s="204" t="str">
        <f aca="false">IF(Model!CN55=0,"",Model!CN55)</f>
        <v/>
      </c>
      <c r="CQ52" s="204" t="str">
        <f aca="false">IF(Model!CO55=0,"",Model!CO55)</f>
        <v/>
      </c>
      <c r="CR52" s="204" t="str">
        <f aca="false">IF(Model!CP55=0,"",Model!CP55)</f>
        <v/>
      </c>
      <c r="CS52" s="204" t="str">
        <f aca="false">IF(Model!CQ55=0,"",Model!CQ55)</f>
        <v/>
      </c>
      <c r="CT52" s="204" t="str">
        <f aca="false">IF(Model!CR55=0,"",Model!CR55)</f>
        <v/>
      </c>
      <c r="CU52" s="204" t="str">
        <f aca="false">IF(Model!CS55=0,"",Model!CS55)</f>
        <v/>
      </c>
      <c r="CV52" s="204" t="str">
        <f aca="false">IF(Model!CT55=0,"",Model!CT55)</f>
        <v/>
      </c>
      <c r="CW52" s="204" t="str">
        <f aca="false">IF(Model!CU55=0,"",Model!CU55)</f>
        <v/>
      </c>
      <c r="CX52" s="204" t="str">
        <f aca="false">IF(Model!CV55=0,"",Model!CV55)</f>
        <v/>
      </c>
      <c r="CY52" s="204" t="str">
        <f aca="false">IF(Model!CW55=0,"",Model!CW55)</f>
        <v/>
      </c>
      <c r="CZ52" s="204" t="str">
        <f aca="false">IF(Model!CX55=0,"",Model!CX55)</f>
        <v/>
      </c>
      <c r="DA52" s="204" t="str">
        <f aca="false">IF(Model!CY55=0,"",Model!CY55)</f>
        <v/>
      </c>
      <c r="DB52" s="204" t="str">
        <f aca="false">IF(Model!CZ55=0,"",Model!CZ55)</f>
        <v/>
      </c>
    </row>
    <row r="53" customFormat="false" ht="15" hidden="false" customHeight="true" outlineLevel="0" collapsed="false">
      <c r="A53" s="94" t="s">
        <v>629</v>
      </c>
      <c r="G53" s="205" t="n">
        <f aca="false">SUM(G28:G52)</f>
        <v>0</v>
      </c>
      <c r="H53" s="205" t="n">
        <f aca="false">SUM(H28:H52)</f>
        <v>0</v>
      </c>
      <c r="I53" s="205" t="n">
        <f aca="false">SUM(I28:I52)</f>
        <v>0</v>
      </c>
      <c r="J53" s="205" t="n">
        <f aca="false">SUM(J28:J52)</f>
        <v>0</v>
      </c>
      <c r="K53" s="205" t="n">
        <f aca="false">SUM(K28:K52)</f>
        <v>0</v>
      </c>
      <c r="L53" s="205" t="n">
        <f aca="false">SUM(L28:L52)</f>
        <v>0</v>
      </c>
      <c r="M53" s="205" t="n">
        <f aca="false">SUM(M28:M52)</f>
        <v>0</v>
      </c>
      <c r="N53" s="205" t="n">
        <f aca="false">SUM(N28:N52)</f>
        <v>0</v>
      </c>
      <c r="O53" s="205" t="n">
        <f aca="false">SUM(O28:O52)</f>
        <v>0</v>
      </c>
      <c r="P53" s="205" t="n">
        <f aca="false">SUM(P28:P52)</f>
        <v>0</v>
      </c>
      <c r="Q53" s="205" t="n">
        <f aca="false">SUM(Q28:Q52)</f>
        <v>0</v>
      </c>
      <c r="R53" s="205" t="n">
        <f aca="false">SUM(R28:R52)</f>
        <v>0</v>
      </c>
      <c r="S53" s="205" t="n">
        <f aca="false">SUM(S28:S52)</f>
        <v>0</v>
      </c>
      <c r="T53" s="205" t="n">
        <f aca="false">SUM(T28:T52)</f>
        <v>0</v>
      </c>
      <c r="U53" s="205" t="n">
        <f aca="false">SUM(U28:U52)</f>
        <v>0</v>
      </c>
      <c r="V53" s="205" t="n">
        <f aca="false">SUM(V28:V52)</f>
        <v>0</v>
      </c>
      <c r="W53" s="205" t="n">
        <f aca="false">SUM(W28:W52)</f>
        <v>0</v>
      </c>
      <c r="X53" s="205" t="n">
        <f aca="false">SUM(X28:X52)</f>
        <v>0</v>
      </c>
      <c r="Y53" s="205" t="n">
        <f aca="false">SUM(Y28:Y52)</f>
        <v>0</v>
      </c>
      <c r="Z53" s="205" t="n">
        <f aca="false">SUM(Z28:Z52)</f>
        <v>0</v>
      </c>
      <c r="AA53" s="205" t="n">
        <f aca="false">SUM(AA28:AA52)</f>
        <v>0</v>
      </c>
      <c r="AB53" s="205" t="n">
        <f aca="false">SUM(AB28:AB52)</f>
        <v>0</v>
      </c>
      <c r="AC53" s="205" t="n">
        <f aca="false">SUM(AC28:AC52)</f>
        <v>0</v>
      </c>
      <c r="AD53" s="205" t="n">
        <f aca="false">SUM(AD28:AD52)</f>
        <v>0</v>
      </c>
      <c r="AE53" s="205" t="n">
        <f aca="false">SUM(AE28:AE52)</f>
        <v>0</v>
      </c>
      <c r="AF53" s="205" t="n">
        <f aca="false">SUM(AF28:AF52)</f>
        <v>0</v>
      </c>
      <c r="AG53" s="205" t="n">
        <f aca="false">SUM(AG28:AG52)</f>
        <v>0</v>
      </c>
      <c r="AH53" s="205" t="n">
        <f aca="false">SUM(AH28:AH52)</f>
        <v>0</v>
      </c>
      <c r="AI53" s="205" t="n">
        <f aca="false">SUM(AI28:AI52)</f>
        <v>0</v>
      </c>
      <c r="AJ53" s="205" t="n">
        <f aca="false">SUM(AJ28:AJ52)</f>
        <v>0</v>
      </c>
      <c r="AK53" s="205" t="n">
        <f aca="false">SUM(AK28:AK52)</f>
        <v>0</v>
      </c>
      <c r="AL53" s="205" t="n">
        <f aca="false">SUM(AL28:AL52)</f>
        <v>0</v>
      </c>
      <c r="AM53" s="205" t="n">
        <f aca="false">SUM(AM28:AM52)</f>
        <v>0</v>
      </c>
      <c r="AN53" s="205" t="n">
        <f aca="false">SUM(AN28:AN52)</f>
        <v>0</v>
      </c>
      <c r="AO53" s="205" t="n">
        <f aca="false">SUM(AO28:AO52)</f>
        <v>0</v>
      </c>
      <c r="AP53" s="205" t="n">
        <f aca="false">SUM(AP28:AP52)</f>
        <v>0</v>
      </c>
      <c r="AQ53" s="205" t="n">
        <f aca="false">SUM(AQ28:AQ52)</f>
        <v>0</v>
      </c>
      <c r="AR53" s="205" t="n">
        <f aca="false">SUM(AR28:AR52)</f>
        <v>0</v>
      </c>
      <c r="AS53" s="205" t="n">
        <f aca="false">SUM(AS28:AS52)</f>
        <v>0</v>
      </c>
      <c r="AT53" s="205" t="n">
        <f aca="false">SUM(AT28:AT52)</f>
        <v>0</v>
      </c>
      <c r="AU53" s="205" t="n">
        <f aca="false">SUM(AU28:AU52)</f>
        <v>0</v>
      </c>
      <c r="AV53" s="205" t="n">
        <f aca="false">SUM(AV28:AV52)</f>
        <v>0</v>
      </c>
      <c r="AW53" s="205" t="n">
        <f aca="false">SUM(AW28:AW52)</f>
        <v>0</v>
      </c>
      <c r="AX53" s="205" t="n">
        <f aca="false">SUM(AX28:AX52)</f>
        <v>0</v>
      </c>
      <c r="AY53" s="205" t="n">
        <f aca="false">SUM(AY28:AY52)</f>
        <v>0</v>
      </c>
      <c r="AZ53" s="205" t="n">
        <f aca="false">SUM(AZ28:AZ52)</f>
        <v>0</v>
      </c>
      <c r="BA53" s="205" t="n">
        <f aca="false">SUM(BA28:BA52)</f>
        <v>0</v>
      </c>
      <c r="BB53" s="205" t="n">
        <f aca="false">SUM(BB28:BB52)</f>
        <v>0</v>
      </c>
      <c r="BC53" s="205" t="n">
        <f aca="false">SUM(BC28:BC52)</f>
        <v>0</v>
      </c>
      <c r="BD53" s="205" t="n">
        <f aca="false">SUM(BD28:BD52)</f>
        <v>0</v>
      </c>
      <c r="BE53" s="205" t="n">
        <f aca="false">SUM(BE28:BE52)</f>
        <v>0</v>
      </c>
      <c r="BF53" s="205" t="n">
        <f aca="false">SUM(BF28:BF52)</f>
        <v>0</v>
      </c>
      <c r="BG53" s="205" t="n">
        <f aca="false">SUM(BG28:BG52)</f>
        <v>0</v>
      </c>
      <c r="BH53" s="205" t="n">
        <f aca="false">SUM(BH28:BH52)</f>
        <v>0</v>
      </c>
      <c r="BI53" s="205" t="n">
        <f aca="false">SUM(BI28:BI52)</f>
        <v>0</v>
      </c>
      <c r="BJ53" s="205" t="n">
        <f aca="false">SUM(BJ28:BJ52)</f>
        <v>0</v>
      </c>
      <c r="BK53" s="205" t="n">
        <f aca="false">SUM(BK28:BK52)</f>
        <v>0</v>
      </c>
      <c r="BL53" s="205" t="n">
        <f aca="false">SUM(BL28:BL52)</f>
        <v>0</v>
      </c>
      <c r="BM53" s="205" t="n">
        <f aca="false">SUM(BM28:BM52)</f>
        <v>0</v>
      </c>
      <c r="BN53" s="205" t="n">
        <f aca="false">SUM(BN28:BN52)</f>
        <v>0</v>
      </c>
      <c r="BO53" s="205" t="n">
        <f aca="false">SUM(BO28:BO52)</f>
        <v>0</v>
      </c>
      <c r="BP53" s="205" t="n">
        <f aca="false">SUM(BP28:BP52)</f>
        <v>0</v>
      </c>
      <c r="BQ53" s="205" t="n">
        <f aca="false">SUM(BQ28:BQ52)</f>
        <v>0</v>
      </c>
      <c r="BR53" s="205" t="n">
        <f aca="false">SUM(BR28:BR52)</f>
        <v>0</v>
      </c>
      <c r="BS53" s="205" t="n">
        <f aca="false">SUM(BS28:BS52)</f>
        <v>0</v>
      </c>
      <c r="BT53" s="205" t="n">
        <f aca="false">SUM(BT28:BT52)</f>
        <v>0</v>
      </c>
      <c r="BU53" s="205" t="n">
        <f aca="false">SUM(BU28:BU52)</f>
        <v>0</v>
      </c>
      <c r="BV53" s="205" t="n">
        <f aca="false">SUM(BV28:BV52)</f>
        <v>0</v>
      </c>
      <c r="BW53" s="205" t="n">
        <f aca="false">SUM(BW28:BW52)</f>
        <v>0</v>
      </c>
      <c r="BX53" s="205" t="n">
        <f aca="false">SUM(BX28:BX52)</f>
        <v>0</v>
      </c>
      <c r="BY53" s="205" t="n">
        <f aca="false">SUM(BY28:BY52)</f>
        <v>0</v>
      </c>
      <c r="BZ53" s="205" t="n">
        <f aca="false">SUM(BZ28:BZ52)</f>
        <v>0</v>
      </c>
      <c r="CA53" s="205" t="n">
        <f aca="false">SUM(CA28:CA52)</f>
        <v>0</v>
      </c>
      <c r="CB53" s="205" t="n">
        <f aca="false">SUM(CB28:CB52)</f>
        <v>0</v>
      </c>
      <c r="CC53" s="205" t="n">
        <f aca="false">SUM(CC28:CC52)</f>
        <v>0</v>
      </c>
      <c r="CD53" s="205" t="n">
        <f aca="false">SUM(CD28:CD52)</f>
        <v>0</v>
      </c>
      <c r="CE53" s="205" t="n">
        <f aca="false">SUM(CE28:CE52)</f>
        <v>0</v>
      </c>
      <c r="CF53" s="205" t="n">
        <f aca="false">SUM(CF28:CF52)</f>
        <v>0</v>
      </c>
      <c r="CG53" s="205" t="n">
        <f aca="false">SUM(CG28:CG52)</f>
        <v>0</v>
      </c>
      <c r="CH53" s="205" t="n">
        <f aca="false">SUM(CH28:CH52)</f>
        <v>0</v>
      </c>
      <c r="CI53" s="205" t="n">
        <f aca="false">SUM(CI28:CI52)</f>
        <v>0</v>
      </c>
      <c r="CJ53" s="205" t="n">
        <f aca="false">SUM(CJ28:CJ52)</f>
        <v>0</v>
      </c>
      <c r="CK53" s="205" t="n">
        <f aca="false">SUM(CK28:CK52)</f>
        <v>0</v>
      </c>
      <c r="CL53" s="205" t="n">
        <f aca="false">SUM(CL28:CL52)</f>
        <v>0</v>
      </c>
      <c r="CM53" s="205" t="n">
        <f aca="false">SUM(CM28:CM52)</f>
        <v>0</v>
      </c>
      <c r="CN53" s="205" t="n">
        <f aca="false">SUM(CN28:CN52)</f>
        <v>0</v>
      </c>
      <c r="CO53" s="205" t="n">
        <f aca="false">SUM(CO28:CO52)</f>
        <v>0</v>
      </c>
      <c r="CP53" s="205" t="n">
        <f aca="false">SUM(CP28:CP52)</f>
        <v>0</v>
      </c>
      <c r="CQ53" s="205" t="n">
        <f aca="false">SUM(CQ28:CQ52)</f>
        <v>0</v>
      </c>
      <c r="CR53" s="205" t="n">
        <f aca="false">SUM(CR28:CR52)</f>
        <v>0</v>
      </c>
      <c r="CS53" s="205" t="n">
        <f aca="false">SUM(CS28:CS52)</f>
        <v>0</v>
      </c>
      <c r="CT53" s="205" t="n">
        <f aca="false">SUM(CT28:CT52)</f>
        <v>0</v>
      </c>
      <c r="CU53" s="205" t="n">
        <f aca="false">SUM(CU28:CU52)</f>
        <v>0</v>
      </c>
      <c r="CV53" s="205" t="n">
        <f aca="false">SUM(CV28:CV52)</f>
        <v>0</v>
      </c>
      <c r="CW53" s="205" t="n">
        <f aca="false">SUM(CW28:CW52)</f>
        <v>0</v>
      </c>
      <c r="CX53" s="205" t="n">
        <f aca="false">SUM(CX28:CX52)</f>
        <v>0</v>
      </c>
      <c r="CY53" s="205" t="n">
        <f aca="false">SUM(CY28:CY52)</f>
        <v>0</v>
      </c>
      <c r="CZ53" s="205" t="n">
        <f aca="false">SUM(CZ28:CZ52)</f>
        <v>0</v>
      </c>
      <c r="DA53" s="205" t="n">
        <f aca="false">SUM(DA28:DA52)</f>
        <v>0</v>
      </c>
      <c r="DB53" s="205" t="n">
        <f aca="false">SUM(DB28:DB52)</f>
        <v>0</v>
      </c>
    </row>
    <row r="54" customFormat="false" ht="15" hidden="false" customHeight="true" outlineLevel="0" collapsed="false">
      <c r="A54" s="94" t="s">
        <v>630</v>
      </c>
      <c r="G54" s="206" t="n">
        <f aca="false">COUNT(G28:G52)</f>
        <v>0</v>
      </c>
      <c r="H54" s="206" t="n">
        <f aca="false">COUNT(H28:H52)</f>
        <v>0</v>
      </c>
      <c r="I54" s="206" t="n">
        <f aca="false">COUNT(I28:I52)</f>
        <v>0</v>
      </c>
      <c r="J54" s="206" t="n">
        <f aca="false">COUNT(J28:J52)</f>
        <v>0</v>
      </c>
      <c r="K54" s="206" t="n">
        <f aca="false">COUNT(K28:K52)</f>
        <v>0</v>
      </c>
      <c r="L54" s="206" t="n">
        <f aca="false">COUNT(L28:L52)</f>
        <v>0</v>
      </c>
      <c r="M54" s="206" t="n">
        <f aca="false">COUNT(M28:M52)</f>
        <v>0</v>
      </c>
      <c r="N54" s="206" t="n">
        <f aca="false">COUNT(N28:N52)</f>
        <v>0</v>
      </c>
      <c r="O54" s="206" t="n">
        <f aca="false">COUNT(O28:O52)</f>
        <v>0</v>
      </c>
      <c r="P54" s="206" t="n">
        <f aca="false">COUNT(P28:P52)</f>
        <v>0</v>
      </c>
      <c r="Q54" s="206" t="n">
        <f aca="false">COUNT(Q28:Q52)</f>
        <v>0</v>
      </c>
      <c r="R54" s="206" t="n">
        <f aca="false">COUNT(R28:R52)</f>
        <v>0</v>
      </c>
      <c r="S54" s="206" t="n">
        <f aca="false">COUNT(S28:S52)</f>
        <v>0</v>
      </c>
      <c r="T54" s="206" t="n">
        <f aca="false">COUNT(T28:T52)</f>
        <v>0</v>
      </c>
      <c r="U54" s="206" t="n">
        <f aca="false">COUNT(U28:U52)</f>
        <v>0</v>
      </c>
      <c r="V54" s="206" t="n">
        <f aca="false">COUNT(V28:V52)</f>
        <v>0</v>
      </c>
      <c r="W54" s="206" t="n">
        <f aca="false">COUNT(W28:W52)</f>
        <v>0</v>
      </c>
      <c r="X54" s="206" t="n">
        <f aca="false">COUNT(X28:X52)</f>
        <v>0</v>
      </c>
      <c r="Y54" s="206" t="n">
        <f aca="false">COUNT(Y28:Y52)</f>
        <v>0</v>
      </c>
      <c r="Z54" s="206" t="n">
        <f aca="false">COUNT(Z28:Z52)</f>
        <v>0</v>
      </c>
      <c r="AA54" s="206" t="n">
        <f aca="false">COUNT(AA28:AA52)</f>
        <v>0</v>
      </c>
      <c r="AB54" s="206" t="n">
        <f aca="false">COUNT(AB28:AB52)</f>
        <v>0</v>
      </c>
      <c r="AC54" s="206" t="n">
        <f aca="false">COUNT(AC28:AC52)</f>
        <v>0</v>
      </c>
      <c r="AD54" s="206" t="n">
        <f aca="false">COUNT(AD28:AD52)</f>
        <v>0</v>
      </c>
      <c r="AE54" s="206" t="n">
        <f aca="false">COUNT(AE28:AE52)</f>
        <v>0</v>
      </c>
      <c r="AF54" s="206" t="n">
        <f aca="false">COUNT(AF28:AF52)</f>
        <v>0</v>
      </c>
      <c r="AG54" s="206" t="n">
        <f aca="false">COUNT(AG28:AG52)</f>
        <v>0</v>
      </c>
      <c r="AH54" s="206" t="n">
        <f aca="false">COUNT(AH28:AH52)</f>
        <v>0</v>
      </c>
      <c r="AI54" s="206" t="n">
        <f aca="false">COUNT(AI28:AI52)</f>
        <v>0</v>
      </c>
      <c r="AJ54" s="206" t="n">
        <f aca="false">COUNT(AJ28:AJ52)</f>
        <v>0</v>
      </c>
      <c r="AK54" s="206" t="n">
        <f aca="false">COUNT(AK28:AK52)</f>
        <v>0</v>
      </c>
      <c r="AL54" s="206" t="n">
        <f aca="false">COUNT(AL28:AL52)</f>
        <v>0</v>
      </c>
      <c r="AM54" s="206" t="n">
        <f aca="false">COUNT(AM28:AM52)</f>
        <v>0</v>
      </c>
      <c r="AN54" s="206" t="n">
        <f aca="false">COUNT(AN28:AN52)</f>
        <v>0</v>
      </c>
      <c r="AO54" s="206" t="n">
        <f aca="false">COUNT(AO28:AO52)</f>
        <v>0</v>
      </c>
      <c r="AP54" s="206" t="n">
        <f aca="false">COUNT(AP28:AP52)</f>
        <v>0</v>
      </c>
      <c r="AQ54" s="206" t="n">
        <f aca="false">COUNT(AQ28:AQ52)</f>
        <v>0</v>
      </c>
      <c r="AR54" s="206" t="n">
        <f aca="false">COUNT(AR28:AR52)</f>
        <v>0</v>
      </c>
      <c r="AS54" s="206" t="n">
        <f aca="false">COUNT(AS28:AS52)</f>
        <v>0</v>
      </c>
      <c r="AT54" s="206" t="n">
        <f aca="false">COUNT(AT28:AT52)</f>
        <v>0</v>
      </c>
      <c r="AU54" s="206" t="n">
        <f aca="false">COUNT(AU28:AU52)</f>
        <v>0</v>
      </c>
      <c r="AV54" s="206" t="n">
        <f aca="false">COUNT(AV28:AV52)</f>
        <v>0</v>
      </c>
      <c r="AW54" s="206" t="n">
        <f aca="false">COUNT(AW28:AW52)</f>
        <v>0</v>
      </c>
      <c r="AX54" s="206" t="n">
        <f aca="false">COUNT(AX28:AX52)</f>
        <v>0</v>
      </c>
      <c r="AY54" s="206" t="n">
        <f aca="false">COUNT(AY28:AY52)</f>
        <v>0</v>
      </c>
      <c r="AZ54" s="206" t="n">
        <f aca="false">COUNT(AZ28:AZ52)</f>
        <v>0</v>
      </c>
      <c r="BA54" s="206" t="n">
        <f aca="false">COUNT(BA28:BA52)</f>
        <v>0</v>
      </c>
      <c r="BB54" s="206" t="n">
        <f aca="false">COUNT(BB28:BB52)</f>
        <v>0</v>
      </c>
      <c r="BC54" s="206" t="n">
        <f aca="false">COUNT(BC28:BC52)</f>
        <v>0</v>
      </c>
      <c r="BD54" s="206" t="n">
        <f aca="false">COUNT(BD28:BD52)</f>
        <v>0</v>
      </c>
      <c r="BE54" s="206" t="n">
        <f aca="false">COUNT(BE28:BE52)</f>
        <v>0</v>
      </c>
      <c r="BF54" s="206" t="n">
        <f aca="false">COUNT(BF28:BF52)</f>
        <v>0</v>
      </c>
      <c r="BG54" s="206" t="n">
        <f aca="false">COUNT(BG28:BG52)</f>
        <v>0</v>
      </c>
      <c r="BH54" s="206" t="n">
        <f aca="false">COUNT(BH28:BH52)</f>
        <v>0</v>
      </c>
      <c r="BI54" s="206" t="n">
        <f aca="false">COUNT(BI28:BI52)</f>
        <v>0</v>
      </c>
      <c r="BJ54" s="206" t="n">
        <f aca="false">COUNT(BJ28:BJ52)</f>
        <v>0</v>
      </c>
      <c r="BK54" s="206" t="n">
        <f aca="false">COUNT(BK28:BK52)</f>
        <v>0</v>
      </c>
      <c r="BL54" s="206" t="n">
        <f aca="false">COUNT(BL28:BL52)</f>
        <v>0</v>
      </c>
      <c r="BM54" s="206" t="n">
        <f aca="false">COUNT(BM28:BM52)</f>
        <v>0</v>
      </c>
      <c r="BN54" s="206" t="n">
        <f aca="false">COUNT(BN28:BN52)</f>
        <v>0</v>
      </c>
      <c r="BO54" s="206" t="n">
        <f aca="false">COUNT(BO28:BO52)</f>
        <v>0</v>
      </c>
      <c r="BP54" s="206" t="n">
        <f aca="false">COUNT(BP28:BP52)</f>
        <v>0</v>
      </c>
      <c r="BQ54" s="206" t="n">
        <f aca="false">COUNT(BQ28:BQ52)</f>
        <v>0</v>
      </c>
      <c r="BR54" s="206" t="n">
        <f aca="false">COUNT(BR28:BR52)</f>
        <v>0</v>
      </c>
      <c r="BS54" s="206" t="n">
        <f aca="false">COUNT(BS28:BS52)</f>
        <v>0</v>
      </c>
      <c r="BT54" s="206" t="n">
        <f aca="false">COUNT(BT28:BT52)</f>
        <v>0</v>
      </c>
      <c r="BU54" s="206" t="n">
        <f aca="false">COUNT(BU28:BU52)</f>
        <v>0</v>
      </c>
      <c r="BV54" s="206" t="n">
        <f aca="false">COUNT(BV28:BV52)</f>
        <v>0</v>
      </c>
      <c r="BW54" s="206" t="n">
        <f aca="false">COUNT(BW28:BW52)</f>
        <v>0</v>
      </c>
      <c r="BX54" s="206" t="n">
        <f aca="false">COUNT(BX28:BX52)</f>
        <v>0</v>
      </c>
      <c r="BY54" s="206" t="n">
        <f aca="false">COUNT(BY28:BY52)</f>
        <v>0</v>
      </c>
      <c r="BZ54" s="206" t="n">
        <f aca="false">COUNT(BZ28:BZ52)</f>
        <v>0</v>
      </c>
      <c r="CA54" s="206" t="n">
        <f aca="false">COUNT(CA28:CA52)</f>
        <v>0</v>
      </c>
      <c r="CB54" s="206" t="n">
        <f aca="false">COUNT(CB28:CB52)</f>
        <v>0</v>
      </c>
      <c r="CC54" s="206" t="n">
        <f aca="false">COUNT(CC28:CC52)</f>
        <v>0</v>
      </c>
      <c r="CD54" s="206" t="n">
        <f aca="false">COUNT(CD28:CD52)</f>
        <v>0</v>
      </c>
      <c r="CE54" s="206" t="n">
        <f aca="false">COUNT(CE28:CE52)</f>
        <v>0</v>
      </c>
      <c r="CF54" s="206" t="n">
        <f aca="false">COUNT(CF28:CF52)</f>
        <v>0</v>
      </c>
      <c r="CG54" s="206" t="n">
        <f aca="false">COUNT(CG28:CG52)</f>
        <v>0</v>
      </c>
      <c r="CH54" s="206" t="n">
        <f aca="false">COUNT(CH28:CH52)</f>
        <v>0</v>
      </c>
      <c r="CI54" s="206" t="n">
        <f aca="false">COUNT(CI28:CI52)</f>
        <v>0</v>
      </c>
      <c r="CJ54" s="206" t="n">
        <f aca="false">COUNT(CJ28:CJ52)</f>
        <v>0</v>
      </c>
      <c r="CK54" s="206" t="n">
        <f aca="false">COUNT(CK28:CK52)</f>
        <v>0</v>
      </c>
      <c r="CL54" s="206" t="n">
        <f aca="false">COUNT(CL28:CL52)</f>
        <v>0</v>
      </c>
      <c r="CM54" s="206" t="n">
        <f aca="false">COUNT(CM28:CM52)</f>
        <v>0</v>
      </c>
      <c r="CN54" s="206" t="n">
        <f aca="false">COUNT(CN28:CN52)</f>
        <v>0</v>
      </c>
      <c r="CO54" s="206" t="n">
        <f aca="false">COUNT(CO28:CO52)</f>
        <v>0</v>
      </c>
      <c r="CP54" s="206" t="n">
        <f aca="false">COUNT(CP28:CP52)</f>
        <v>0</v>
      </c>
      <c r="CQ54" s="206" t="n">
        <f aca="false">COUNT(CQ28:CQ52)</f>
        <v>0</v>
      </c>
      <c r="CR54" s="206" t="n">
        <f aca="false">COUNT(CR28:CR52)</f>
        <v>0</v>
      </c>
      <c r="CS54" s="206" t="n">
        <f aca="false">COUNT(CS28:CS52)</f>
        <v>0</v>
      </c>
      <c r="CT54" s="206" t="n">
        <f aca="false">COUNT(CT28:CT52)</f>
        <v>0</v>
      </c>
      <c r="CU54" s="206" t="n">
        <f aca="false">COUNT(CU28:CU52)</f>
        <v>0</v>
      </c>
      <c r="CV54" s="206" t="n">
        <f aca="false">COUNT(CV28:CV52)</f>
        <v>0</v>
      </c>
      <c r="CW54" s="206" t="n">
        <f aca="false">COUNT(CW28:CW52)</f>
        <v>0</v>
      </c>
      <c r="CX54" s="206" t="n">
        <f aca="false">COUNT(CX28:CX52)</f>
        <v>0</v>
      </c>
      <c r="CY54" s="206" t="n">
        <f aca="false">COUNT(CY28:CY52)</f>
        <v>0</v>
      </c>
      <c r="CZ54" s="206" t="n">
        <f aca="false">COUNT(CZ28:CZ52)</f>
        <v>0</v>
      </c>
      <c r="DA54" s="206" t="n">
        <f aca="false">COUNT(DA28:DA52)</f>
        <v>0</v>
      </c>
      <c r="DB54" s="206" t="n">
        <f aca="false">COUNT(DB28:DB52)</f>
        <v>0</v>
      </c>
    </row>
    <row r="55" customFormat="false" ht="13.5" hidden="false" customHeight="true" outlineLevel="0" collapsed="false">
      <c r="A55" s="207" t="s">
        <v>631</v>
      </c>
      <c r="G55" s="208" t="n">
        <f aca="false">Model!E10+Model!E11+Model!E56</f>
        <v>379597.99</v>
      </c>
      <c r="H55" s="208" t="n">
        <f aca="false">Model!F10+Model!F11+Model!F56</f>
        <v>476783.4</v>
      </c>
      <c r="I55" s="208" t="n">
        <f aca="false">Model!G10+Model!G11+Model!G56</f>
        <v>667740.25</v>
      </c>
      <c r="J55" s="208" t="n">
        <f aca="false">Model!H10+Model!H11+Model!H56</f>
        <v>616538.58</v>
      </c>
      <c r="K55" s="208" t="n">
        <f aca="false">Model!I10+Model!I11+Model!I56</f>
        <v>760604.39</v>
      </c>
      <c r="L55" s="208" t="n">
        <f aca="false">Model!J10+Model!J11+Model!J56</f>
        <v>750022.66</v>
      </c>
      <c r="M55" s="208" t="n">
        <f aca="false">Model!K10+Model!K11+Model!K56</f>
        <v>702745.4</v>
      </c>
      <c r="N55" s="208" t="n">
        <f aca="false">Model!L10+Model!L11+Model!L56</f>
        <v>568759.87</v>
      </c>
      <c r="O55" s="208" t="n">
        <f aca="false">Model!M10+Model!M11+Model!M56</f>
        <v>601723.91</v>
      </c>
      <c r="P55" s="208" t="n">
        <f aca="false">Model!N10+Model!N11+Model!N56</f>
        <v>729468.98671865</v>
      </c>
      <c r="Q55" s="208" t="n">
        <f aca="false">Model!O10+Model!O11+Model!O56</f>
        <v>748142.8531996</v>
      </c>
      <c r="R55" s="208" t="n">
        <f aca="false">Model!P10+Model!P11+Model!P56</f>
        <v>777487.7531996</v>
      </c>
      <c r="S55" s="208" t="n">
        <f aca="false">Model!Q10+Model!Q11+Model!Q56</f>
        <v>741723.8031996</v>
      </c>
      <c r="T55" s="208" t="n">
        <f aca="false">Model!R10+Model!R11+Model!R56</f>
        <v>716458.7831996</v>
      </c>
      <c r="U55" s="208" t="n">
        <f aca="false">Model!S10+Model!S11+Model!S56</f>
        <v>1002501.07641275</v>
      </c>
      <c r="V55" s="208" t="n">
        <f aca="false">Model!T10+Model!T11+Model!T56</f>
        <v>1096216.06641275</v>
      </c>
      <c r="W55" s="208" t="n">
        <f aca="false">Model!U10+Model!U11+Model!U56</f>
        <v>986475.61641275</v>
      </c>
      <c r="X55" s="208" t="n">
        <f aca="false">Model!V10+Model!V11+Model!V56</f>
        <v>1037969.17641275</v>
      </c>
      <c r="Y55" s="208" t="n">
        <f aca="false">Model!W10+Model!W11+Model!W56</f>
        <v>840508.11641275</v>
      </c>
      <c r="Z55" s="208" t="n">
        <f aca="false">Model!X10+Model!X11+Model!X56</f>
        <v>988203.79641275</v>
      </c>
      <c r="AA55" s="208" t="n">
        <f aca="false">Model!Y10+Model!Y11+Model!Y56</f>
        <v>804676.87641275</v>
      </c>
      <c r="AB55" s="208" t="n">
        <f aca="false">Model!Z10+Model!Z11+Model!Z56</f>
        <v>904603.87641275</v>
      </c>
      <c r="AC55" s="208" t="n">
        <f aca="false">Model!AA10+Model!AA11+Model!AA56</f>
        <v>814436.93641275</v>
      </c>
      <c r="AD55" s="208" t="n">
        <f aca="false">Model!AB10+Model!AB11+Model!AB56</f>
        <v>676302.66641275</v>
      </c>
      <c r="AE55" s="208" t="n">
        <f aca="false">Model!AC10+Model!AC11+Model!AC56</f>
        <v>580065.82641275</v>
      </c>
      <c r="AF55" s="208" t="n">
        <f aca="false">Model!AD10+Model!AD11+Model!AD56</f>
        <v>602631.86641275</v>
      </c>
      <c r="AG55" s="208" t="n">
        <f aca="false">Model!AE10+Model!AE11+Model!AE56</f>
        <v>593715.54641275</v>
      </c>
      <c r="AH55" s="208" t="n">
        <f aca="false">Model!AF10+Model!AF11+Model!AF56</f>
        <v>752099.6731314</v>
      </c>
      <c r="AI55" s="208" t="n">
        <f aca="false">Model!AG10+Model!AG11+Model!AG56</f>
        <v>685499.17617505</v>
      </c>
      <c r="AJ55" s="208" t="n">
        <f aca="false">Model!AH10+Model!AH11+Model!AH56</f>
        <v>549163.69321315</v>
      </c>
      <c r="AK55" s="208" t="n">
        <f aca="false">Model!AI10+Model!AI11+Model!AI56</f>
        <v>543099.98321315</v>
      </c>
      <c r="AL55" s="208" t="n">
        <f aca="false">Model!AJ10+Model!AJ11+Model!AJ56</f>
        <v>422526.05321315</v>
      </c>
      <c r="AM55" s="208" t="n">
        <f aca="false">Model!AK10+Model!AK11+Model!AK56</f>
        <v>397936.34321315</v>
      </c>
      <c r="AN55" s="208" t="n">
        <f aca="false">Model!AL10+Model!AL11+Model!AL56</f>
        <v>412007.05321315</v>
      </c>
      <c r="AO55" s="208" t="n">
        <f aca="false">Model!AM10+Model!AM11+Model!AM56</f>
        <v>423690.09321315</v>
      </c>
      <c r="AP55" s="208" t="n">
        <f aca="false">Model!AN10+Model!AN11+Model!AN56</f>
        <v>317022.58321315</v>
      </c>
      <c r="AQ55" s="208" t="n">
        <f aca="false">Model!AO10+Model!AO11+Model!AO56</f>
        <v>277761.84321315</v>
      </c>
      <c r="AR55" s="208" t="n">
        <f aca="false">Model!AP10+Model!AP11+Model!AP56</f>
        <v>410630.440041698</v>
      </c>
      <c r="AS55" s="208" t="n">
        <f aca="false">Model!AQ10+Model!AQ11+Model!AQ56</f>
        <v>172574.204057217</v>
      </c>
      <c r="AT55" s="208" t="n">
        <f aca="false">Model!AR10+Model!AR11+Model!AR56</f>
        <v>172574.204057217</v>
      </c>
      <c r="AU55" s="208" t="n">
        <f aca="false">Model!AS10+Model!AS11+Model!AS56</f>
        <v>172574.204057217</v>
      </c>
      <c r="AV55" s="208" t="n">
        <f aca="false">Model!AT10+Model!AT11+Model!AT56</f>
        <v>172574.204057217</v>
      </c>
      <c r="AW55" s="208" t="n">
        <f aca="false">Model!AU10+Model!AU11+Model!AU56</f>
        <v>172574.204057217</v>
      </c>
      <c r="AX55" s="208" t="n">
        <f aca="false">Model!AV10+Model!AV11+Model!AV56</f>
        <v>445059.789410717</v>
      </c>
      <c r="AY55" s="208" t="n">
        <f aca="false">Model!AW10+Model!AW11+Model!AW56</f>
        <v>0</v>
      </c>
      <c r="AZ55" s="208" t="n">
        <f aca="false">Model!AX10+Model!AX11+Model!AX56</f>
        <v>0</v>
      </c>
      <c r="BA55" s="208" t="n">
        <f aca="false">Model!AY10+Model!AY11+Model!AY56</f>
        <v>0</v>
      </c>
      <c r="BB55" s="208" t="n">
        <f aca="false">Model!AZ10+Model!AZ11+Model!AZ56</f>
        <v>0</v>
      </c>
      <c r="BC55" s="208" t="n">
        <f aca="false">Model!BA10+Model!BA11+Model!BA56</f>
        <v>0</v>
      </c>
      <c r="BD55" s="208" t="n">
        <f aca="false">Model!BB10+Model!BB11+Model!BB56</f>
        <v>0</v>
      </c>
      <c r="BE55" s="208" t="n">
        <f aca="false">Model!BC10+Model!BC11+Model!BC56</f>
        <v>0</v>
      </c>
      <c r="BF55" s="208" t="n">
        <f aca="false">Model!BD10+Model!BD11+Model!BD56</f>
        <v>0</v>
      </c>
      <c r="BG55" s="208" t="n">
        <f aca="false">Model!BE10+Model!BE11+Model!BE56</f>
        <v>0</v>
      </c>
      <c r="BH55" s="208" t="n">
        <f aca="false">Model!BF10+Model!BF11+Model!BF56</f>
        <v>0</v>
      </c>
      <c r="BI55" s="208" t="n">
        <f aca="false">Model!BG10+Model!BG11+Model!BG56</f>
        <v>0</v>
      </c>
      <c r="BJ55" s="208" t="n">
        <f aca="false">Model!BH10+Model!BH11+Model!BH56</f>
        <v>0</v>
      </c>
      <c r="BK55" s="208" t="n">
        <f aca="false">Model!BI10+Model!BI11+Model!BI56</f>
        <v>0</v>
      </c>
      <c r="BL55" s="208" t="n">
        <f aca="false">Model!BJ10+Model!BJ11+Model!BJ56</f>
        <v>0</v>
      </c>
      <c r="BM55" s="208" t="n">
        <f aca="false">Model!BK10+Model!BK11+Model!BK56</f>
        <v>0</v>
      </c>
      <c r="BN55" s="208" t="n">
        <f aca="false">Model!BL10+Model!BL11+Model!BL56</f>
        <v>0</v>
      </c>
      <c r="BO55" s="208" t="n">
        <f aca="false">Model!BM10+Model!BM11+Model!BM56</f>
        <v>0</v>
      </c>
      <c r="BP55" s="208" t="n">
        <f aca="false">Model!BN10+Model!BN11+Model!BN56</f>
        <v>0</v>
      </c>
      <c r="BQ55" s="208" t="n">
        <f aca="false">Model!BO10+Model!BO11+Model!BO56</f>
        <v>0</v>
      </c>
      <c r="BR55" s="208" t="n">
        <f aca="false">Model!BP10+Model!BP11+Model!BP56</f>
        <v>0</v>
      </c>
      <c r="BS55" s="208" t="n">
        <f aca="false">Model!BQ10+Model!BQ11+Model!BQ56</f>
        <v>0</v>
      </c>
      <c r="BT55" s="208" t="n">
        <f aca="false">Model!BR10+Model!BR11+Model!BR56</f>
        <v>0</v>
      </c>
      <c r="BU55" s="208" t="n">
        <f aca="false">Model!BS10+Model!BS11+Model!BS56</f>
        <v>0</v>
      </c>
      <c r="BV55" s="208" t="n">
        <f aca="false">Model!BT10+Model!BT11+Model!BT56</f>
        <v>0</v>
      </c>
      <c r="BW55" s="208" t="n">
        <f aca="false">Model!BU10+Model!BU11+Model!BU56</f>
        <v>0</v>
      </c>
      <c r="BX55" s="208" t="n">
        <f aca="false">Model!BV10+Model!BV11+Model!BV56</f>
        <v>0</v>
      </c>
      <c r="BY55" s="208" t="n">
        <f aca="false">Model!BW10+Model!BW11+Model!BW56</f>
        <v>0</v>
      </c>
      <c r="BZ55" s="208" t="n">
        <f aca="false">Model!BX10+Model!BX11+Model!BX56</f>
        <v>0</v>
      </c>
      <c r="CA55" s="208" t="n">
        <f aca="false">Model!BY10+Model!BY11+Model!BY56</f>
        <v>0</v>
      </c>
      <c r="CB55" s="208" t="n">
        <f aca="false">Model!BZ10+Model!BZ11+Model!BZ56</f>
        <v>0</v>
      </c>
      <c r="CC55" s="208" t="n">
        <f aca="false">Model!CA10+Model!CA11+Model!CA56</f>
        <v>0</v>
      </c>
      <c r="CD55" s="208" t="n">
        <f aca="false">Model!CB10+Model!CB11+Model!CB56</f>
        <v>0</v>
      </c>
      <c r="CE55" s="208" t="n">
        <f aca="false">Model!CC10+Model!CC11+Model!CC56</f>
        <v>0</v>
      </c>
      <c r="CF55" s="208" t="n">
        <f aca="false">Model!CD10+Model!CD11+Model!CD56</f>
        <v>0</v>
      </c>
      <c r="CG55" s="208" t="n">
        <f aca="false">Model!CE10+Model!CE11+Model!CE56</f>
        <v>0</v>
      </c>
      <c r="CH55" s="208" t="n">
        <f aca="false">Model!CF10+Model!CF11+Model!CF56</f>
        <v>0</v>
      </c>
      <c r="CI55" s="208" t="n">
        <f aca="false">Model!CG10+Model!CG11+Model!CG56</f>
        <v>0</v>
      </c>
      <c r="CJ55" s="208" t="n">
        <f aca="false">Model!CH10+Model!CH11+Model!CH56</f>
        <v>0</v>
      </c>
      <c r="CK55" s="208" t="n">
        <f aca="false">Model!CI10+Model!CI11+Model!CI56</f>
        <v>0</v>
      </c>
      <c r="CL55" s="208" t="n">
        <f aca="false">Model!CJ10+Model!CJ11+Model!CJ56</f>
        <v>0</v>
      </c>
      <c r="CM55" s="208" t="n">
        <f aca="false">Model!CK10+Model!CK11+Model!CK56</f>
        <v>0</v>
      </c>
      <c r="CN55" s="208" t="n">
        <f aca="false">Model!CL10+Model!CL11+Model!CL56</f>
        <v>0</v>
      </c>
      <c r="CO55" s="208" t="n">
        <f aca="false">Model!CM10+Model!CM11+Model!CM56</f>
        <v>0</v>
      </c>
      <c r="CP55" s="208" t="n">
        <f aca="false">Model!CN10+Model!CN11+Model!CN56</f>
        <v>0</v>
      </c>
      <c r="CQ55" s="208" t="n">
        <f aca="false">Model!CO10+Model!CO11+Model!CO56</f>
        <v>0</v>
      </c>
      <c r="CR55" s="208" t="n">
        <f aca="false">Model!CP10+Model!CP11+Model!CP56</f>
        <v>0</v>
      </c>
      <c r="CS55" s="208" t="n">
        <f aca="false">Model!CQ10+Model!CQ11+Model!CQ56</f>
        <v>0</v>
      </c>
      <c r="CT55" s="208" t="n">
        <f aca="false">Model!CR10+Model!CR11+Model!CR56</f>
        <v>0</v>
      </c>
      <c r="CU55" s="208" t="n">
        <f aca="false">Model!CS10+Model!CS11+Model!CS56</f>
        <v>0</v>
      </c>
      <c r="CV55" s="208" t="n">
        <f aca="false">Model!CT10+Model!CT11+Model!CT56</f>
        <v>0</v>
      </c>
      <c r="CW55" s="208" t="n">
        <f aca="false">Model!CU10+Model!CU11+Model!CU56</f>
        <v>0</v>
      </c>
      <c r="CX55" s="208" t="n">
        <f aca="false">Model!CV10+Model!CV11+Model!CV56</f>
        <v>0</v>
      </c>
      <c r="CY55" s="208" t="n">
        <f aca="false">Model!CW10+Model!CW11+Model!CW56</f>
        <v>0</v>
      </c>
      <c r="CZ55" s="208" t="n">
        <f aca="false">Model!CX10+Model!CX11+Model!CX56</f>
        <v>0</v>
      </c>
      <c r="DA55" s="208" t="n">
        <f aca="false">Model!CY10+Model!CY11+Model!CY56</f>
        <v>0</v>
      </c>
      <c r="DB55" s="208" t="n">
        <f aca="false">Model!CZ10+Model!CZ11+Model!CZ56</f>
        <v>0</v>
      </c>
    </row>
    <row r="56" customFormat="false" ht="15" hidden="false" customHeight="true" outlineLevel="0" collapsed="false">
      <c r="A56" s="209" t="s">
        <v>632</v>
      </c>
      <c r="B56" s="210"/>
      <c r="C56" s="210"/>
      <c r="D56" s="210"/>
      <c r="E56" s="210"/>
      <c r="F56" s="210"/>
      <c r="G56" s="211" t="n">
        <f aca="false">G21+G53+G55</f>
        <v>3692357.9</v>
      </c>
      <c r="H56" s="211" t="n">
        <f aca="false">H21+H53+H55</f>
        <v>4416061.63</v>
      </c>
      <c r="I56" s="211" t="n">
        <f aca="false">I21+I53+I55</f>
        <v>6252262.98</v>
      </c>
      <c r="J56" s="211" t="n">
        <f aca="false">J21+J53+J55</f>
        <v>7025595.65</v>
      </c>
      <c r="K56" s="211" t="n">
        <f aca="false">K21+K53+K55</f>
        <v>6064732.98</v>
      </c>
      <c r="L56" s="211" t="n">
        <f aca="false">L21+L53+L55</f>
        <v>6380882.05</v>
      </c>
      <c r="M56" s="211" t="n">
        <f aca="false">M21+M53+M55</f>
        <v>5863956.57</v>
      </c>
      <c r="N56" s="211" t="n">
        <f aca="false">N21+N53+N55</f>
        <v>4729790.82</v>
      </c>
      <c r="O56" s="211" t="n">
        <f aca="false">O21+O53+O55</f>
        <v>4696674.76099936</v>
      </c>
      <c r="P56" s="211" t="n">
        <f aca="false">P21+P53+P55</f>
        <v>5653414.31976768</v>
      </c>
      <c r="Q56" s="211" t="n">
        <f aca="false">Q21+Q53+Q55</f>
        <v>5737029.0785874</v>
      </c>
      <c r="R56" s="211" t="n">
        <f aca="false">R21+R53+R55</f>
        <v>6249137.2685729</v>
      </c>
      <c r="S56" s="211" t="n">
        <f aca="false">S21+S53+S55</f>
        <v>6160924.25830203</v>
      </c>
      <c r="T56" s="211" t="n">
        <f aca="false">T21+T53+T55</f>
        <v>6166548.05342689</v>
      </c>
      <c r="U56" s="211" t="n">
        <f aca="false">U21+U53+U55</f>
        <v>7604334.48615446</v>
      </c>
      <c r="V56" s="211" t="n">
        <f aca="false">V21+V53+V55</f>
        <v>8761571.80382869</v>
      </c>
      <c r="W56" s="211" t="n">
        <f aca="false">W21+W53+W55</f>
        <v>8196751.62799756</v>
      </c>
      <c r="X56" s="211" t="n">
        <f aca="false">X21+X53+X55</f>
        <v>8925255.88681589</v>
      </c>
      <c r="Y56" s="211" t="n">
        <f aca="false">Y21+Y53+Y55</f>
        <v>7523315.92370029</v>
      </c>
      <c r="Z56" s="211" t="n">
        <f aca="false">Z21+Z53+Z55</f>
        <v>8963099.38048891</v>
      </c>
      <c r="AA56" s="211" t="n">
        <f aca="false">AA21+AA53+AA55</f>
        <v>7562983.03013109</v>
      </c>
      <c r="AB56" s="211" t="n">
        <f aca="false">AB21+AB53+AB55</f>
        <v>8475238.2794861</v>
      </c>
      <c r="AC56" s="211" t="n">
        <f aca="false">AC21+AC53+AC55</f>
        <v>7734895.10292899</v>
      </c>
      <c r="AD56" s="211" t="n">
        <f aca="false">AD21+AD53+AD55</f>
        <v>6537618.53900738</v>
      </c>
      <c r="AE56" s="211" t="n">
        <f aca="false">AE21+AE53+AE55</f>
        <v>5657471.0742399</v>
      </c>
      <c r="AF56" s="211" t="n">
        <f aca="false">AF21+AF53+AF55</f>
        <v>5731995.75309445</v>
      </c>
      <c r="AG56" s="211" t="n">
        <f aca="false">AG21+AG53+AG55</f>
        <v>5509796.77928673</v>
      </c>
      <c r="AH56" s="211" t="n">
        <f aca="false">AH21+AH53+AH55</f>
        <v>5606881.47474336</v>
      </c>
      <c r="AI56" s="211" t="n">
        <f aca="false">AI21+AI53+AI55</f>
        <v>5990208.68854035</v>
      </c>
      <c r="AJ56" s="211" t="n">
        <f aca="false">AJ21+AJ53+AJ55</f>
        <v>5505004.7813351</v>
      </c>
      <c r="AK56" s="211" t="n">
        <f aca="false">AK21+AK53+AK55</f>
        <v>5363758.8444413</v>
      </c>
      <c r="AL56" s="211" t="n">
        <f aca="false">AL21+AL53+AL55</f>
        <v>4233105.9231126</v>
      </c>
      <c r="AM56" s="211" t="n">
        <f aca="false">AM21+AM53+AM55</f>
        <v>3878145.5477256</v>
      </c>
      <c r="AN56" s="211" t="n">
        <f aca="false">AN21+AN53+AN55</f>
        <v>3824575.06443415</v>
      </c>
      <c r="AO56" s="211" t="n">
        <f aca="false">AO21+AO53+AO55</f>
        <v>3734482.21824575</v>
      </c>
      <c r="AP56" s="211" t="n">
        <f aca="false">AP21+AP53+AP55</f>
        <v>2643309.56995525</v>
      </c>
      <c r="AQ56" s="211" t="n">
        <f aca="false">AQ21+AQ53+AQ55</f>
        <v>2110275.5579112</v>
      </c>
      <c r="AR56" s="211" t="n">
        <f aca="false">AR21+AR53+AR55</f>
        <v>1904675.62832865</v>
      </c>
      <c r="AS56" s="211" t="n">
        <f aca="false">AS21+AS53+AS55</f>
        <v>1327357.49671</v>
      </c>
      <c r="AT56" s="211" t="n">
        <f aca="false">AT21+AT53+AT55</f>
        <v>1201153.74195</v>
      </c>
      <c r="AU56" s="211" t="n">
        <f aca="false">AU21+AU53+AU55</f>
        <v>1076126.92321</v>
      </c>
      <c r="AV56" s="211" t="n">
        <f aca="false">AV21+AV53+AV55</f>
        <v>954540.37899</v>
      </c>
      <c r="AW56" s="211" t="n">
        <f aca="false">AW21+AW53+AW55</f>
        <v>838250.04686</v>
      </c>
      <c r="AX56" s="211" t="n">
        <f aca="false">AX21+AX53+AX55</f>
        <v>728840.26377</v>
      </c>
      <c r="AY56" s="211" t="n">
        <f aca="false">AY21+AY53+AY55</f>
        <v>0</v>
      </c>
      <c r="AZ56" s="211" t="n">
        <f aca="false">AZ21+AZ53+AZ55</f>
        <v>0</v>
      </c>
      <c r="BA56" s="211" t="n">
        <f aca="false">BA21+BA53+BA55</f>
        <v>0</v>
      </c>
      <c r="BB56" s="211" t="n">
        <f aca="false">BB21+BB53+BB55</f>
        <v>0</v>
      </c>
      <c r="BC56" s="211" t="n">
        <f aca="false">BC21+BC53+BC55</f>
        <v>0</v>
      </c>
      <c r="BD56" s="211" t="n">
        <f aca="false">BD21+BD53+BD55</f>
        <v>0</v>
      </c>
      <c r="BE56" s="211" t="n">
        <f aca="false">BE21+BE53+BE55</f>
        <v>0</v>
      </c>
      <c r="BF56" s="211" t="n">
        <f aca="false">BF21+BF53+BF55</f>
        <v>0</v>
      </c>
      <c r="BG56" s="211" t="n">
        <f aca="false">BG21+BG53+BG55</f>
        <v>0</v>
      </c>
      <c r="BH56" s="211" t="n">
        <f aca="false">BH21+BH53+BH55</f>
        <v>0</v>
      </c>
      <c r="BI56" s="211" t="n">
        <f aca="false">BI21+BI53+BI55</f>
        <v>0</v>
      </c>
      <c r="BJ56" s="211" t="n">
        <f aca="false">BJ21+BJ53+BJ55</f>
        <v>0</v>
      </c>
      <c r="BK56" s="211" t="n">
        <f aca="false">BK21+BK53+BK55</f>
        <v>0</v>
      </c>
      <c r="BL56" s="211" t="n">
        <f aca="false">BL21+BL53+BL55</f>
        <v>0</v>
      </c>
      <c r="BM56" s="211" t="n">
        <f aca="false">BM21+BM53+BM55</f>
        <v>0</v>
      </c>
      <c r="BN56" s="211" t="n">
        <f aca="false">BN21+BN53+BN55</f>
        <v>0</v>
      </c>
      <c r="BO56" s="211" t="n">
        <f aca="false">BO21+BO53+BO55</f>
        <v>0</v>
      </c>
      <c r="BP56" s="211" t="n">
        <f aca="false">BP21+BP53+BP55</f>
        <v>0</v>
      </c>
      <c r="BQ56" s="211" t="n">
        <f aca="false">BQ21+BQ53+BQ55</f>
        <v>0</v>
      </c>
      <c r="BR56" s="211" t="n">
        <f aca="false">BR21+BR53+BR55</f>
        <v>0</v>
      </c>
      <c r="BS56" s="211" t="n">
        <f aca="false">BS21+BS53+BS55</f>
        <v>0</v>
      </c>
      <c r="BT56" s="211" t="n">
        <f aca="false">BT21+BT53+BT55</f>
        <v>0</v>
      </c>
      <c r="BU56" s="211" t="n">
        <f aca="false">BU21+BU53+BU55</f>
        <v>0</v>
      </c>
      <c r="BV56" s="211" t="n">
        <f aca="false">BV21+BV53+BV55</f>
        <v>0</v>
      </c>
      <c r="BW56" s="211" t="n">
        <f aca="false">BW21+BW53+BW55</f>
        <v>0</v>
      </c>
      <c r="BX56" s="211" t="n">
        <f aca="false">BX21+BX53+BX55</f>
        <v>0</v>
      </c>
      <c r="BY56" s="211" t="n">
        <f aca="false">BY21+BY53+BY55</f>
        <v>0</v>
      </c>
      <c r="BZ56" s="211" t="n">
        <f aca="false">BZ21+BZ53+BZ55</f>
        <v>0</v>
      </c>
      <c r="CA56" s="211" t="n">
        <f aca="false">CA21+CA53+CA55</f>
        <v>0</v>
      </c>
      <c r="CB56" s="211" t="n">
        <f aca="false">CB21+CB53+CB55</f>
        <v>0</v>
      </c>
      <c r="CC56" s="211" t="n">
        <f aca="false">CC21+CC53+CC55</f>
        <v>0</v>
      </c>
      <c r="CD56" s="211" t="n">
        <f aca="false">CD21+CD53+CD55</f>
        <v>0</v>
      </c>
      <c r="CE56" s="211" t="n">
        <f aca="false">CE21+CE53+CE55</f>
        <v>0</v>
      </c>
      <c r="CF56" s="211" t="n">
        <f aca="false">CF21+CF53+CF55</f>
        <v>0</v>
      </c>
      <c r="CG56" s="211" t="n">
        <f aca="false">CG21+CG53+CG55</f>
        <v>0</v>
      </c>
      <c r="CH56" s="211" t="n">
        <f aca="false">CH21+CH53+CH55</f>
        <v>0</v>
      </c>
      <c r="CI56" s="211" t="n">
        <f aca="false">CI21+CI53+CI55</f>
        <v>0</v>
      </c>
      <c r="CJ56" s="211" t="n">
        <f aca="false">CJ21+CJ53+CJ55</f>
        <v>0</v>
      </c>
      <c r="CK56" s="211" t="n">
        <f aca="false">CK21+CK53+CK55</f>
        <v>0</v>
      </c>
      <c r="CL56" s="211" t="n">
        <f aca="false">CL21+CL53+CL55</f>
        <v>0</v>
      </c>
      <c r="CM56" s="211" t="n">
        <f aca="false">CM21+CM53+CM55</f>
        <v>0</v>
      </c>
      <c r="CN56" s="211" t="n">
        <f aca="false">CN21+CN53+CN55</f>
        <v>0</v>
      </c>
      <c r="CO56" s="211" t="n">
        <f aca="false">CO21+CO53+CO55</f>
        <v>0</v>
      </c>
      <c r="CP56" s="211" t="n">
        <f aca="false">CP21+CP53+CP55</f>
        <v>0</v>
      </c>
      <c r="CQ56" s="211" t="n">
        <f aca="false">CQ21+CQ53+CQ55</f>
        <v>0</v>
      </c>
      <c r="CR56" s="211" t="n">
        <f aca="false">CR21+CR53+CR55</f>
        <v>0</v>
      </c>
      <c r="CS56" s="211" t="n">
        <f aca="false">CS21+CS53+CS55</f>
        <v>0</v>
      </c>
      <c r="CT56" s="211" t="n">
        <f aca="false">CT21+CT53+CT55</f>
        <v>0</v>
      </c>
      <c r="CU56" s="211" t="n">
        <f aca="false">CU21+CU53+CU55</f>
        <v>0</v>
      </c>
      <c r="CV56" s="211" t="n">
        <f aca="false">CV21+CV53+CV55</f>
        <v>0</v>
      </c>
      <c r="CW56" s="211" t="n">
        <f aca="false">CW21+CW53+CW55</f>
        <v>0</v>
      </c>
      <c r="CX56" s="211" t="n">
        <f aca="false">CX21+CX53+CX55</f>
        <v>0</v>
      </c>
      <c r="CY56" s="211" t="n">
        <f aca="false">CY21+CY53+CY55</f>
        <v>0</v>
      </c>
      <c r="CZ56" s="211" t="n">
        <f aca="false">CZ21+CZ53+CZ55</f>
        <v>0</v>
      </c>
      <c r="DA56" s="211" t="n">
        <f aca="false">DA21+DA53+DA55</f>
        <v>0</v>
      </c>
      <c r="DB56" s="211" t="n">
        <f aca="false">DB21+DB53+DB55</f>
        <v>0</v>
      </c>
    </row>
    <row r="57" customFormat="false" ht="15" hidden="false" customHeight="true" outlineLevel="0" collapsed="false">
      <c r="A57" s="209" t="s">
        <v>633</v>
      </c>
      <c r="B57" s="210"/>
      <c r="C57" s="210"/>
      <c r="D57" s="210"/>
      <c r="E57" s="210"/>
      <c r="F57" s="210"/>
      <c r="G57" s="212" t="n">
        <f aca="false">G22+G54</f>
        <v>5</v>
      </c>
      <c r="H57" s="212" t="n">
        <f aca="false">H22+H54</f>
        <v>5</v>
      </c>
      <c r="I57" s="212" t="n">
        <f aca="false">I22+I54</f>
        <v>5</v>
      </c>
      <c r="J57" s="212" t="n">
        <f aca="false">J22+J54</f>
        <v>7</v>
      </c>
      <c r="K57" s="212" t="n">
        <f aca="false">K22+K54</f>
        <v>8</v>
      </c>
      <c r="L57" s="212" t="n">
        <f aca="false">L22+L54</f>
        <v>8</v>
      </c>
      <c r="M57" s="212" t="n">
        <f aca="false">M22+M54</f>
        <v>8</v>
      </c>
      <c r="N57" s="212" t="n">
        <f aca="false">N22+N54</f>
        <v>8</v>
      </c>
      <c r="O57" s="212" t="n">
        <f aca="false">O22+O54</f>
        <v>9</v>
      </c>
      <c r="P57" s="212" t="n">
        <f aca="false">P22+P54</f>
        <v>9</v>
      </c>
      <c r="Q57" s="212" t="n">
        <f aca="false">Q22+Q54</f>
        <v>10</v>
      </c>
      <c r="R57" s="212" t="n">
        <f aca="false">R22+R54</f>
        <v>10</v>
      </c>
      <c r="S57" s="212" t="n">
        <f aca="false">S22+S54</f>
        <v>10</v>
      </c>
      <c r="T57" s="212" t="n">
        <f aca="false">T22+T54</f>
        <v>10</v>
      </c>
      <c r="U57" s="212" t="n">
        <f aca="false">U22+U54</f>
        <v>12</v>
      </c>
      <c r="V57" s="212" t="n">
        <f aca="false">V22+V54</f>
        <v>11</v>
      </c>
      <c r="W57" s="212" t="n">
        <f aca="false">W22+W54</f>
        <v>11</v>
      </c>
      <c r="X57" s="212" t="n">
        <f aca="false">X22+X54</f>
        <v>10</v>
      </c>
      <c r="Y57" s="212" t="n">
        <f aca="false">Y22+Y54</f>
        <v>9</v>
      </c>
      <c r="Z57" s="212" t="n">
        <f aca="false">Z22+Z54</f>
        <v>8</v>
      </c>
      <c r="AA57" s="212" t="n">
        <f aca="false">AA22+AA54</f>
        <v>8</v>
      </c>
      <c r="AB57" s="212" t="n">
        <f aca="false">AB22+AB54</f>
        <v>8</v>
      </c>
      <c r="AC57" s="212" t="n">
        <f aca="false">AC22+AC54</f>
        <v>8</v>
      </c>
      <c r="AD57" s="212" t="n">
        <f aca="false">AD22+AD54</f>
        <v>7</v>
      </c>
      <c r="AE57" s="212" t="n">
        <f aca="false">AE22+AE54</f>
        <v>6</v>
      </c>
      <c r="AF57" s="212" t="n">
        <f aca="false">AF22+AF54</f>
        <v>6</v>
      </c>
      <c r="AG57" s="212" t="n">
        <f aca="false">AG22+AG54</f>
        <v>6</v>
      </c>
      <c r="AH57" s="212" t="n">
        <f aca="false">AH22+AH54</f>
        <v>6</v>
      </c>
      <c r="AI57" s="212" t="n">
        <f aca="false">AI22+AI54</f>
        <v>4</v>
      </c>
      <c r="AJ57" s="212" t="n">
        <f aca="false">AJ22+AJ54</f>
        <v>3</v>
      </c>
      <c r="AK57" s="212" t="n">
        <f aca="false">AK22+AK54</f>
        <v>3</v>
      </c>
      <c r="AL57" s="212" t="n">
        <f aca="false">AL22+AL54</f>
        <v>3</v>
      </c>
      <c r="AM57" s="212" t="n">
        <f aca="false">AM22+AM54</f>
        <v>3</v>
      </c>
      <c r="AN57" s="212" t="n">
        <f aca="false">AN22+AN54</f>
        <v>3</v>
      </c>
      <c r="AO57" s="212" t="n">
        <f aca="false">AO22+AO54</f>
        <v>3</v>
      </c>
      <c r="AP57" s="212" t="n">
        <f aca="false">AP22+AP54</f>
        <v>3</v>
      </c>
      <c r="AQ57" s="212" t="n">
        <f aca="false">AQ22+AQ54</f>
        <v>2</v>
      </c>
      <c r="AR57" s="212" t="n">
        <f aca="false">AR22+AR54</f>
        <v>2</v>
      </c>
      <c r="AS57" s="212" t="n">
        <f aca="false">AS22+AS54</f>
        <v>1</v>
      </c>
      <c r="AT57" s="212" t="n">
        <f aca="false">AT22+AT54</f>
        <v>1</v>
      </c>
      <c r="AU57" s="212" t="n">
        <f aca="false">AU22+AU54</f>
        <v>1</v>
      </c>
      <c r="AV57" s="212" t="n">
        <f aca="false">AV22+AV54</f>
        <v>1</v>
      </c>
      <c r="AW57" s="212" t="n">
        <f aca="false">AW22+AW54</f>
        <v>1</v>
      </c>
      <c r="AX57" s="212" t="n">
        <f aca="false">AX22+AX54</f>
        <v>1</v>
      </c>
      <c r="AY57" s="212" t="n">
        <f aca="false">AY22+AY54</f>
        <v>0</v>
      </c>
      <c r="AZ57" s="212" t="n">
        <f aca="false">AZ22+AZ54</f>
        <v>0</v>
      </c>
      <c r="BA57" s="212" t="n">
        <f aca="false">BA22+BA54</f>
        <v>0</v>
      </c>
      <c r="BB57" s="212" t="n">
        <f aca="false">BB22+BB54</f>
        <v>0</v>
      </c>
      <c r="BC57" s="212" t="n">
        <f aca="false">BC22+BC54</f>
        <v>0</v>
      </c>
      <c r="BD57" s="212" t="n">
        <f aca="false">BD22+BD54</f>
        <v>0</v>
      </c>
      <c r="BE57" s="212" t="n">
        <f aca="false">BE22+BE54</f>
        <v>0</v>
      </c>
      <c r="BF57" s="212" t="n">
        <f aca="false">BF22+BF54</f>
        <v>0</v>
      </c>
      <c r="BG57" s="212" t="n">
        <f aca="false">BG22+BG54</f>
        <v>0</v>
      </c>
      <c r="BH57" s="212" t="n">
        <f aca="false">BH22+BH54</f>
        <v>0</v>
      </c>
      <c r="BI57" s="212" t="n">
        <f aca="false">BI22+BI54</f>
        <v>0</v>
      </c>
      <c r="BJ57" s="212" t="n">
        <f aca="false">BJ22+BJ54</f>
        <v>0</v>
      </c>
      <c r="BK57" s="212" t="n">
        <f aca="false">BK22+BK54</f>
        <v>0</v>
      </c>
      <c r="BL57" s="212" t="n">
        <f aca="false">BL22+BL54</f>
        <v>0</v>
      </c>
      <c r="BM57" s="212" t="n">
        <f aca="false">BM22+BM54</f>
        <v>0</v>
      </c>
      <c r="BN57" s="212" t="n">
        <f aca="false">BN22+BN54</f>
        <v>0</v>
      </c>
      <c r="BO57" s="212" t="n">
        <f aca="false">BO22+BO54</f>
        <v>0</v>
      </c>
      <c r="BP57" s="212" t="n">
        <f aca="false">BP22+BP54</f>
        <v>0</v>
      </c>
      <c r="BQ57" s="212" t="n">
        <f aca="false">BQ22+BQ54</f>
        <v>0</v>
      </c>
      <c r="BR57" s="212" t="n">
        <f aca="false">BR22+BR54</f>
        <v>0</v>
      </c>
      <c r="BS57" s="212" t="n">
        <f aca="false">BS22+BS54</f>
        <v>0</v>
      </c>
      <c r="BT57" s="212" t="n">
        <f aca="false">BT22+BT54</f>
        <v>0</v>
      </c>
      <c r="BU57" s="212" t="n">
        <f aca="false">BU22+BU54</f>
        <v>0</v>
      </c>
      <c r="BV57" s="212" t="n">
        <f aca="false">BV22+BV54</f>
        <v>0</v>
      </c>
      <c r="BW57" s="212" t="n">
        <f aca="false">BW22+BW54</f>
        <v>0</v>
      </c>
      <c r="BX57" s="212" t="n">
        <f aca="false">BX22+BX54</f>
        <v>0</v>
      </c>
      <c r="BY57" s="212" t="n">
        <f aca="false">BY22+BY54</f>
        <v>0</v>
      </c>
      <c r="BZ57" s="212" t="n">
        <f aca="false">BZ22+BZ54</f>
        <v>0</v>
      </c>
      <c r="CA57" s="212" t="n">
        <f aca="false">CA22+CA54</f>
        <v>0</v>
      </c>
      <c r="CB57" s="212" t="n">
        <f aca="false">CB22+CB54</f>
        <v>0</v>
      </c>
      <c r="CC57" s="212" t="n">
        <f aca="false">CC22+CC54</f>
        <v>0</v>
      </c>
      <c r="CD57" s="212" t="n">
        <f aca="false">CD22+CD54</f>
        <v>0</v>
      </c>
      <c r="CE57" s="212" t="n">
        <f aca="false">CE22+CE54</f>
        <v>0</v>
      </c>
      <c r="CF57" s="212" t="n">
        <f aca="false">CF22+CF54</f>
        <v>0</v>
      </c>
      <c r="CG57" s="212" t="n">
        <f aca="false">CG22+CG54</f>
        <v>0</v>
      </c>
      <c r="CH57" s="212" t="n">
        <f aca="false">CH22+CH54</f>
        <v>0</v>
      </c>
      <c r="CI57" s="212" t="n">
        <f aca="false">CI22+CI54</f>
        <v>0</v>
      </c>
      <c r="CJ57" s="212" t="n">
        <f aca="false">CJ22+CJ54</f>
        <v>0</v>
      </c>
      <c r="CK57" s="212" t="n">
        <f aca="false">CK22+CK54</f>
        <v>0</v>
      </c>
      <c r="CL57" s="212" t="n">
        <f aca="false">CL22+CL54</f>
        <v>0</v>
      </c>
      <c r="CM57" s="212" t="n">
        <f aca="false">CM22+CM54</f>
        <v>0</v>
      </c>
      <c r="CN57" s="212" t="n">
        <f aca="false">CN22+CN54</f>
        <v>0</v>
      </c>
      <c r="CO57" s="212" t="n">
        <f aca="false">CO22+CO54</f>
        <v>0</v>
      </c>
      <c r="CP57" s="212" t="n">
        <f aca="false">CP22+CP54</f>
        <v>0</v>
      </c>
      <c r="CQ57" s="212" t="n">
        <f aca="false">CQ22+CQ54</f>
        <v>0</v>
      </c>
      <c r="CR57" s="212" t="n">
        <f aca="false">CR22+CR54</f>
        <v>0</v>
      </c>
      <c r="CS57" s="212" t="n">
        <f aca="false">CS22+CS54</f>
        <v>0</v>
      </c>
      <c r="CT57" s="212" t="n">
        <f aca="false">CT22+CT54</f>
        <v>0</v>
      </c>
      <c r="CU57" s="212" t="n">
        <f aca="false">CU22+CU54</f>
        <v>0</v>
      </c>
      <c r="CV57" s="212" t="n">
        <f aca="false">CV22+CV54</f>
        <v>0</v>
      </c>
      <c r="CW57" s="212" t="n">
        <f aca="false">CW22+CW54</f>
        <v>0</v>
      </c>
      <c r="CX57" s="212" t="n">
        <f aca="false">CX22+CX54</f>
        <v>0</v>
      </c>
      <c r="CY57" s="212" t="n">
        <f aca="false">CY22+CY54</f>
        <v>0</v>
      </c>
      <c r="CZ57" s="212" t="n">
        <f aca="false">CZ22+CZ54</f>
        <v>0</v>
      </c>
      <c r="DA57" s="212" t="n">
        <f aca="false">DA22+DA54</f>
        <v>0</v>
      </c>
      <c r="DB57" s="212" t="n">
        <f aca="false">DB22+DB54</f>
        <v>0</v>
      </c>
    </row>
    <row r="59" customFormat="false" ht="15" hidden="false" customHeight="true" outlineLevel="0" collapsed="false">
      <c r="A59" s="94" t="s">
        <v>634</v>
      </c>
      <c r="G59" s="208" t="n">
        <f aca="false">-(Model!E236+Model!E292)</f>
        <v>269336.28</v>
      </c>
      <c r="H59" s="208" t="n">
        <f aca="false">-(Model!F236+Model!F292)</f>
        <v>687944.37</v>
      </c>
      <c r="I59" s="208" t="n">
        <f aca="false">-(Model!G236+Model!G292)</f>
        <v>471394.68</v>
      </c>
      <c r="J59" s="208" t="n">
        <f aca="false">-(Model!H236+Model!H292)</f>
        <v>518009.51</v>
      </c>
      <c r="K59" s="208" t="n">
        <f aca="false">-(Model!I236+Model!I292)</f>
        <v>569578.44</v>
      </c>
      <c r="L59" s="208" t="n">
        <f aca="false">-(Model!J236+Model!J292)</f>
        <v>598679.7</v>
      </c>
      <c r="M59" s="208" t="n">
        <f aca="false">-(Model!K236+Model!K292)</f>
        <v>600793.429666667</v>
      </c>
      <c r="N59" s="208" t="n">
        <f aca="false">-(Model!L236+Model!L292)</f>
        <v>593293.429666667</v>
      </c>
      <c r="O59" s="208" t="n">
        <f aca="false">-(Model!M236+Model!M292)</f>
        <v>695133.429666667</v>
      </c>
      <c r="P59" s="208" t="n">
        <f aca="false">-(Model!N236+Model!N292)</f>
        <v>615771.833</v>
      </c>
      <c r="Q59" s="208" t="n">
        <f aca="false">-(Model!O236+Model!O292)</f>
        <v>634990.583</v>
      </c>
      <c r="R59" s="208" t="n">
        <f aca="false">-(Model!P236+Model!P292)</f>
        <v>602115.583</v>
      </c>
      <c r="S59" s="208" t="n">
        <f aca="false">-(Model!Q236+Model!Q292)</f>
        <v>602115.583</v>
      </c>
      <c r="T59" s="208" t="n">
        <f aca="false">-(Model!R236+Model!R292)</f>
        <v>600365.583</v>
      </c>
      <c r="U59" s="208" t="n">
        <f aca="false">-(Model!S236+Model!S292)</f>
        <v>696821.833</v>
      </c>
      <c r="V59" s="208" t="n">
        <f aca="false">-(Model!T236+Model!T292)</f>
        <v>653696.833</v>
      </c>
      <c r="W59" s="208" t="n">
        <f aca="false">-(Model!U236+Model!U292)</f>
        <v>653696.833</v>
      </c>
      <c r="X59" s="208" t="n">
        <f aca="false">-(Model!V236+Model!V292)</f>
        <v>653696.833</v>
      </c>
      <c r="Y59" s="208" t="n">
        <f aca="false">-(Model!W236+Model!W292)</f>
        <v>653696.833</v>
      </c>
      <c r="Z59" s="208" t="n">
        <f aca="false">-(Model!X236+Model!X292)</f>
        <v>653696.833</v>
      </c>
      <c r="AA59" s="208" t="n">
        <f aca="false">-(Model!Y236+Model!Y292)</f>
        <v>853696.833</v>
      </c>
      <c r="AB59" s="208" t="n">
        <f aca="false">-(Model!Z236+Model!Z292)</f>
        <v>662470.251967692</v>
      </c>
      <c r="AC59" s="208" t="n">
        <f aca="false">-(Model!AA236+Model!AA292)</f>
        <v>640162.55966</v>
      </c>
      <c r="AD59" s="208" t="n">
        <f aca="false">-(Model!AB236+Model!AB292)</f>
        <v>635123.211583077</v>
      </c>
      <c r="AE59" s="208" t="n">
        <f aca="false">-(Model!AC236+Model!AC292)</f>
        <v>613200.13466</v>
      </c>
      <c r="AF59" s="208" t="n">
        <f aca="false">-(Model!AD236+Model!AD292)</f>
        <v>608160.786583077</v>
      </c>
      <c r="AG59" s="208" t="n">
        <f aca="false">-(Model!AE236+Model!AE292)</f>
        <v>586237.70966</v>
      </c>
      <c r="AH59" s="208" t="n">
        <f aca="false">-(Model!AF236+Model!AF292)</f>
        <v>586237.70966</v>
      </c>
      <c r="AI59" s="208" t="n">
        <f aca="false">-(Model!AG236+Model!AG292)</f>
        <v>586237.70966</v>
      </c>
      <c r="AJ59" s="208" t="n">
        <f aca="false">-(Model!AH236+Model!AH292)</f>
        <v>586237.70966</v>
      </c>
      <c r="AK59" s="208" t="n">
        <f aca="false">-(Model!AI236+Model!AI292)</f>
        <v>586237.70966</v>
      </c>
      <c r="AL59" s="208" t="n">
        <f aca="false">-(Model!AJ236+Model!AJ292)</f>
        <v>586237.70966</v>
      </c>
      <c r="AM59" s="208" t="n">
        <f aca="false">-(Model!AK236+Model!AK292)</f>
        <v>786237.70966</v>
      </c>
      <c r="AN59" s="208" t="n">
        <f aca="false">-(Model!AL236+Model!AL292)</f>
        <v>597208.7038532</v>
      </c>
      <c r="AO59" s="208" t="n">
        <f aca="false">-(Model!AM236+Model!AM292)</f>
        <v>597208.7038532</v>
      </c>
      <c r="AP59" s="208" t="n">
        <f aca="false">-(Model!AN236+Model!AN292)</f>
        <v>597208.7038532</v>
      </c>
      <c r="AQ59" s="208" t="n">
        <f aca="false">-(Model!AO236+Model!AO292)</f>
        <v>597208.7038532</v>
      </c>
      <c r="AR59" s="208" t="n">
        <f aca="false">-(Model!AP236+Model!AP292)</f>
        <v>597208.7038532</v>
      </c>
      <c r="AS59" s="208" t="n">
        <f aca="false">-(Model!AQ236+Model!AQ292)</f>
        <v>597208.7038532</v>
      </c>
      <c r="AT59" s="208" t="n">
        <f aca="false">-(Model!AR236+Model!AR292)</f>
        <v>597208.7038532</v>
      </c>
      <c r="AU59" s="208" t="n">
        <f aca="false">-(Model!AS236+Model!AS292)</f>
        <v>597208.7038532</v>
      </c>
      <c r="AV59" s="208" t="n">
        <f aca="false">-(Model!AT236+Model!AT292)</f>
        <v>678891.7038532</v>
      </c>
      <c r="AW59" s="208" t="n">
        <f aca="false">-(Model!AU236+Model!AU292)</f>
        <v>597208.7038532</v>
      </c>
      <c r="AX59" s="208" t="n">
        <f aca="false">-(Model!AV236+Model!AV292)</f>
        <v>597208.7038532</v>
      </c>
      <c r="AY59" s="208" t="n">
        <f aca="false">-(Model!AW236+Model!AW292)</f>
        <v>878890.7038532</v>
      </c>
      <c r="AZ59" s="208" t="n">
        <f aca="false">-(Model!AX236+Model!AX292)</f>
        <v>608399.117930264</v>
      </c>
      <c r="BA59" s="208" t="n">
        <f aca="false">-(Model!AY236+Model!AY292)</f>
        <v>608399.117930264</v>
      </c>
      <c r="BB59" s="208" t="n">
        <f aca="false">-(Model!AZ236+Model!AZ292)</f>
        <v>690081.117930264</v>
      </c>
      <c r="BC59" s="208" t="n">
        <f aca="false">-(Model!BA236+Model!BA292)</f>
        <v>608399.117930264</v>
      </c>
      <c r="BD59" s="208" t="n">
        <f aca="false">-(Model!BB236+Model!BB292)</f>
        <v>608399.117930264</v>
      </c>
      <c r="BE59" s="208" t="n">
        <f aca="false">-(Model!BC236+Model!BC292)</f>
        <v>1541920.11793026</v>
      </c>
      <c r="BF59" s="208" t="n">
        <f aca="false">-(Model!BD236+Model!BD292)</f>
        <v>608399.117930264</v>
      </c>
      <c r="BG59" s="208" t="n">
        <f aca="false">-(Model!BE236+Model!BE292)</f>
        <v>608399.117930264</v>
      </c>
      <c r="BH59" s="208" t="n">
        <f aca="false">-(Model!BF236+Model!BF292)</f>
        <v>739277.117930264</v>
      </c>
      <c r="BI59" s="208" t="n">
        <f aca="false">-(Model!BG236+Model!BG292)</f>
        <v>608399.117930264</v>
      </c>
      <c r="BJ59" s="208" t="n">
        <f aca="false">-(Model!BH236+Model!BH292)</f>
        <v>608399.117930264</v>
      </c>
      <c r="BK59" s="208" t="n">
        <f aca="false">-(Model!BI236+Model!BI292)</f>
        <v>939275.117930264</v>
      </c>
      <c r="BL59" s="208" t="n">
        <f aca="false">-(Model!BJ236+Model!BJ292)</f>
        <v>619813.340288869</v>
      </c>
      <c r="BM59" s="208" t="n">
        <f aca="false">-(Model!BK236+Model!BK292)</f>
        <v>619813.340288869</v>
      </c>
      <c r="BN59" s="208" t="n">
        <f aca="false">-(Model!BL236+Model!BL292)</f>
        <v>750689.340288869</v>
      </c>
      <c r="BO59" s="208" t="n">
        <f aca="false">-(Model!BM236+Model!BM292)</f>
        <v>619813.340288869</v>
      </c>
      <c r="BP59" s="208" t="n">
        <f aca="false">-(Model!BN236+Model!BN292)</f>
        <v>619813.340288869</v>
      </c>
      <c r="BQ59" s="208" t="n">
        <f aca="false">-(Model!BO236+Model!BO292)</f>
        <v>750689.340288869</v>
      </c>
      <c r="BR59" s="208" t="n">
        <f aca="false">-(Model!BP236+Model!BP292)</f>
        <v>619813.340288869</v>
      </c>
      <c r="BS59" s="208" t="n">
        <f aca="false">-(Model!BQ236+Model!BQ292)</f>
        <v>619813.340288869</v>
      </c>
      <c r="BT59" s="208" t="n">
        <f aca="false">-(Model!BR236+Model!BR292)</f>
        <v>708968.990288869</v>
      </c>
      <c r="BU59" s="208" t="n">
        <f aca="false">-(Model!BS236+Model!BS292)</f>
        <v>619813.340288869</v>
      </c>
      <c r="BV59" s="208" t="n">
        <f aca="false">-(Model!BT236+Model!BT292)</f>
        <v>619813.340288869</v>
      </c>
      <c r="BW59" s="208" t="n">
        <f aca="false">-(Model!BU236+Model!BU292)</f>
        <v>894453.340288869</v>
      </c>
      <c r="BX59" s="208" t="n">
        <f aca="false">-(Model!BV236+Model!BV292)</f>
        <v>631455.847094647</v>
      </c>
      <c r="BY59" s="208" t="n">
        <f aca="false">-(Model!BW236+Model!BW292)</f>
        <v>631455.847094647</v>
      </c>
      <c r="BZ59" s="208" t="n">
        <f aca="false">-(Model!BX236+Model!BX292)</f>
        <v>706095.847094647</v>
      </c>
      <c r="CA59" s="208" t="n">
        <f aca="false">-(Model!BY236+Model!BY292)</f>
        <v>631455.847094647</v>
      </c>
      <c r="CB59" s="208" t="n">
        <f aca="false">-(Model!BZ236+Model!BZ292)</f>
        <v>631455.847094647</v>
      </c>
      <c r="CC59" s="208" t="n">
        <f aca="false">-(Model!CA236+Model!CA292)</f>
        <v>706095.847094647</v>
      </c>
      <c r="CD59" s="208" t="n">
        <f aca="false">-(Model!CB236+Model!CB292)</f>
        <v>631455.847094647</v>
      </c>
      <c r="CE59" s="208" t="n">
        <f aca="false">-(Model!CC236+Model!CC292)</f>
        <v>631455.847094647</v>
      </c>
      <c r="CF59" s="208" t="n">
        <f aca="false">-(Model!CD236+Model!CD292)</f>
        <v>712818.847094647</v>
      </c>
      <c r="CG59" s="208" t="n">
        <f aca="false">-(Model!CE236+Model!CE292)</f>
        <v>631455.847094647</v>
      </c>
      <c r="CH59" s="208" t="n">
        <f aca="false">-(Model!CF236+Model!CF292)</f>
        <v>631455.847094647</v>
      </c>
      <c r="CI59" s="208" t="n">
        <f aca="false">-(Model!CG236+Model!CG292)</f>
        <v>912817.847094647</v>
      </c>
      <c r="CJ59" s="208" t="n">
        <f aca="false">-(Model!CH236+Model!CH292)</f>
        <v>643331.20403654</v>
      </c>
      <c r="CK59" s="208" t="n">
        <f aca="false">-(Model!CI236+Model!CI292)</f>
        <v>643331.20403654</v>
      </c>
      <c r="CL59" s="208" t="n">
        <f aca="false">-(Model!CJ236+Model!CJ292)</f>
        <v>718085.177430061</v>
      </c>
      <c r="CM59" s="208" t="n">
        <f aca="false">-(Model!CK236+Model!CK292)</f>
        <v>643331.20403654</v>
      </c>
      <c r="CN59" s="208" t="n">
        <f aca="false">-(Model!CL236+Model!CL292)</f>
        <v>643331.20403654</v>
      </c>
      <c r="CO59" s="208" t="n">
        <f aca="false">-(Model!CM236+Model!CM292)</f>
        <v>643331.20403654</v>
      </c>
      <c r="CP59" s="208" t="n">
        <f aca="false">-(Model!CN236+Model!CN292)</f>
        <v>643331.20403654</v>
      </c>
      <c r="CQ59" s="208" t="n">
        <f aca="false">-(Model!CO236+Model!CO292)</f>
        <v>643331.20403654</v>
      </c>
      <c r="CR59" s="208" t="n">
        <f aca="false">-(Model!CP236+Model!CP292)</f>
        <v>643331.20403654</v>
      </c>
      <c r="CS59" s="208" t="n">
        <f aca="false">-(Model!CQ236+Model!CQ292)</f>
        <v>643331.20403654</v>
      </c>
      <c r="CT59" s="208" t="n">
        <f aca="false">-(Model!CR236+Model!CR292)</f>
        <v>643331.20403654</v>
      </c>
      <c r="CU59" s="208" t="n">
        <f aca="false">-(Model!CS236+Model!CS292)</f>
        <v>843331.20403654</v>
      </c>
      <c r="CV59" s="208" t="n">
        <f aca="false">-(Model!CT236+Model!CT292)</f>
        <v>608922.812039968</v>
      </c>
      <c r="CW59" s="208" t="n">
        <f aca="false">-(Model!CU236+Model!CU292)</f>
        <v>608922.812039968</v>
      </c>
      <c r="CX59" s="208" t="n">
        <f aca="false">-(Model!CV236+Model!CV292)</f>
        <v>608922.812039968</v>
      </c>
      <c r="CY59" s="208" t="n">
        <f aca="false">-(Model!CW236+Model!CW292)</f>
        <v>608922.812039968</v>
      </c>
      <c r="CZ59" s="208" t="n">
        <f aca="false">-(Model!CX236+Model!CX292)</f>
        <v>608922.812039968</v>
      </c>
      <c r="DA59" s="208" t="n">
        <f aca="false">-(Model!CY236+Model!CY292)</f>
        <v>608922.812039968</v>
      </c>
      <c r="DB59" s="208" t="n">
        <f aca="false">-(Model!CZ236+Model!CZ292)</f>
        <v>608922.812039968</v>
      </c>
    </row>
    <row r="60" customFormat="false" ht="15" hidden="false" customHeight="true" outlineLevel="0" collapsed="false">
      <c r="A60" s="94" t="s">
        <v>635</v>
      </c>
      <c r="G60" s="208" t="n">
        <f aca="false">Model!E199</f>
        <v>447358.25</v>
      </c>
      <c r="H60" s="208" t="n">
        <f aca="false">Model!F199</f>
        <v>465536.7</v>
      </c>
      <c r="I60" s="208" t="n">
        <f aca="false">Model!G199</f>
        <v>641351.13</v>
      </c>
      <c r="J60" s="208" t="n">
        <f aca="false">Model!H199</f>
        <v>1766649.51</v>
      </c>
      <c r="K60" s="208" t="n">
        <f aca="false">Model!I199</f>
        <v>560735.39</v>
      </c>
      <c r="L60" s="208" t="n">
        <f aca="false">Model!J199</f>
        <v>343866.884875</v>
      </c>
      <c r="M60" s="208" t="n">
        <f aca="false">Model!K199</f>
        <v>115458.632875001</v>
      </c>
      <c r="N60" s="208" t="n">
        <f aca="false">Model!L199</f>
        <v>447906.98</v>
      </c>
      <c r="O60" s="208" t="n">
        <f aca="false">Model!M199</f>
        <v>532753.92</v>
      </c>
      <c r="P60" s="208" t="n">
        <f aca="false">Model!N199</f>
        <v>656618.90671865</v>
      </c>
      <c r="Q60" s="208" t="n">
        <f aca="false">Model!O199</f>
        <v>685879.923199601</v>
      </c>
      <c r="R60" s="208" t="n">
        <f aca="false">Model!P199</f>
        <v>704354.5431996</v>
      </c>
      <c r="S60" s="208" t="n">
        <f aca="false">Model!Q199</f>
        <v>678911.2431996</v>
      </c>
      <c r="T60" s="208" t="n">
        <f aca="false">Model!R199</f>
        <v>665516.533199597</v>
      </c>
      <c r="U60" s="208" t="n">
        <f aca="false">Model!S199</f>
        <v>367726.476902949</v>
      </c>
      <c r="V60" s="208" t="n">
        <f aca="false">Model!T199</f>
        <v>1034525.45641275</v>
      </c>
      <c r="W60" s="208" t="n">
        <f aca="false">Model!U199</f>
        <v>930823.396412751</v>
      </c>
      <c r="X60" s="208" t="n">
        <f aca="false">Model!V199</f>
        <v>1016694.66641275</v>
      </c>
      <c r="Y60" s="208" t="n">
        <f aca="false">Model!W199</f>
        <v>837539.836412748</v>
      </c>
      <c r="Z60" s="208" t="n">
        <f aca="false">Model!X199</f>
        <v>988203.796412751</v>
      </c>
      <c r="AA60" s="208" t="n">
        <f aca="false">Model!Y199</f>
        <v>804676.87641275</v>
      </c>
      <c r="AB60" s="208" t="n">
        <f aca="false">Model!Z199</f>
        <v>904603.87641275</v>
      </c>
      <c r="AC60" s="208" t="n">
        <f aca="false">Model!AA199</f>
        <v>814436.936412748</v>
      </c>
      <c r="AD60" s="208" t="n">
        <f aca="false">Model!AB199</f>
        <v>676302.666412749</v>
      </c>
      <c r="AE60" s="208" t="n">
        <f aca="false">Model!AC199</f>
        <v>580065.826412753</v>
      </c>
      <c r="AF60" s="208" t="n">
        <f aca="false">Model!AD199</f>
        <v>602631.86641275</v>
      </c>
      <c r="AG60" s="208" t="n">
        <f aca="false">Model!AE199</f>
        <v>593715.546412747</v>
      </c>
      <c r="AH60" s="208" t="n">
        <f aca="false">Model!AF199</f>
        <v>752099.673131402</v>
      </c>
      <c r="AI60" s="208" t="n">
        <f aca="false">Model!AG199</f>
        <v>685499.17617505</v>
      </c>
      <c r="AJ60" s="208" t="n">
        <f aca="false">Model!AH199</f>
        <v>549163.693213149</v>
      </c>
      <c r="AK60" s="208" t="n">
        <f aca="false">Model!AI199</f>
        <v>543099.983213155</v>
      </c>
      <c r="AL60" s="208" t="n">
        <f aca="false">Model!AJ199</f>
        <v>422526.053213147</v>
      </c>
      <c r="AM60" s="208" t="n">
        <f aca="false">Model!AK199</f>
        <v>397936.34321315</v>
      </c>
      <c r="AN60" s="208" t="n">
        <f aca="false">Model!AL199</f>
        <v>412007.053213151</v>
      </c>
      <c r="AO60" s="208" t="n">
        <f aca="false">Model!AM199</f>
        <v>423690.093213149</v>
      </c>
      <c r="AP60" s="208" t="n">
        <f aca="false">Model!AN199</f>
        <v>317022.583213148</v>
      </c>
      <c r="AQ60" s="208" t="n">
        <f aca="false">Model!AO199</f>
        <v>277761.84321315</v>
      </c>
      <c r="AR60" s="208" t="n">
        <f aca="false">Model!AP199</f>
        <v>410630.440041698</v>
      </c>
      <c r="AS60" s="208" t="n">
        <f aca="false">Model!AQ199</f>
        <v>172574.204057217</v>
      </c>
      <c r="AT60" s="208" t="n">
        <f aca="false">Model!AR199</f>
        <v>172574.204057217</v>
      </c>
      <c r="AU60" s="208" t="n">
        <f aca="false">Model!AS199</f>
        <v>172574.204057217</v>
      </c>
      <c r="AV60" s="208" t="n">
        <f aca="false">Model!AT199</f>
        <v>172574.204057217</v>
      </c>
      <c r="AW60" s="208" t="n">
        <f aca="false">Model!AU199</f>
        <v>172574.204057217</v>
      </c>
      <c r="AX60" s="208" t="n">
        <f aca="false">Model!AV199</f>
        <v>445059.789410717</v>
      </c>
      <c r="AY60" s="208" t="n">
        <f aca="false">Model!AW199</f>
        <v>0</v>
      </c>
      <c r="AZ60" s="208" t="n">
        <f aca="false">Model!AX199</f>
        <v>0</v>
      </c>
      <c r="BA60" s="208" t="n">
        <f aca="false">Model!AY199</f>
        <v>0</v>
      </c>
      <c r="BB60" s="208" t="n">
        <f aca="false">Model!AZ199</f>
        <v>0</v>
      </c>
      <c r="BC60" s="208" t="n">
        <f aca="false">Model!BA199</f>
        <v>0</v>
      </c>
      <c r="BD60" s="208" t="n">
        <f aca="false">Model!BB199</f>
        <v>0</v>
      </c>
      <c r="BE60" s="208" t="n">
        <f aca="false">Model!BC199</f>
        <v>0</v>
      </c>
      <c r="BF60" s="208" t="n">
        <f aca="false">Model!BD199</f>
        <v>0</v>
      </c>
      <c r="BG60" s="208" t="n">
        <f aca="false">Model!BE199</f>
        <v>0</v>
      </c>
      <c r="BH60" s="208" t="n">
        <f aca="false">Model!BF199</f>
        <v>0</v>
      </c>
      <c r="BI60" s="208" t="n">
        <f aca="false">Model!BG199</f>
        <v>0</v>
      </c>
      <c r="BJ60" s="208" t="n">
        <f aca="false">Model!BH199</f>
        <v>0</v>
      </c>
      <c r="BK60" s="208" t="n">
        <f aca="false">Model!BI199</f>
        <v>0</v>
      </c>
      <c r="BL60" s="208" t="n">
        <f aca="false">Model!BJ199</f>
        <v>0</v>
      </c>
      <c r="BM60" s="208" t="n">
        <f aca="false">Model!BK199</f>
        <v>0</v>
      </c>
      <c r="BN60" s="208" t="n">
        <f aca="false">Model!BL199</f>
        <v>0</v>
      </c>
      <c r="BO60" s="208" t="n">
        <f aca="false">Model!BM199</f>
        <v>0</v>
      </c>
      <c r="BP60" s="208" t="n">
        <f aca="false">Model!BN199</f>
        <v>0</v>
      </c>
      <c r="BQ60" s="208" t="n">
        <f aca="false">Model!BO199</f>
        <v>0</v>
      </c>
      <c r="BR60" s="208" t="n">
        <f aca="false">Model!BP199</f>
        <v>0</v>
      </c>
      <c r="BS60" s="208" t="n">
        <f aca="false">Model!BQ199</f>
        <v>0</v>
      </c>
      <c r="BT60" s="208" t="n">
        <f aca="false">Model!BR199</f>
        <v>0</v>
      </c>
      <c r="BU60" s="208" t="n">
        <f aca="false">Model!BS199</f>
        <v>0</v>
      </c>
      <c r="BV60" s="208" t="n">
        <f aca="false">Model!BT199</f>
        <v>0</v>
      </c>
      <c r="BW60" s="208" t="n">
        <f aca="false">Model!BU199</f>
        <v>0</v>
      </c>
      <c r="BX60" s="208" t="n">
        <f aca="false">Model!BV199</f>
        <v>0</v>
      </c>
      <c r="BY60" s="208" t="n">
        <f aca="false">Model!BW199</f>
        <v>0</v>
      </c>
      <c r="BZ60" s="208" t="n">
        <f aca="false">Model!BX199</f>
        <v>0</v>
      </c>
      <c r="CA60" s="208" t="n">
        <f aca="false">Model!BY199</f>
        <v>0</v>
      </c>
      <c r="CB60" s="208" t="n">
        <f aca="false">Model!BZ199</f>
        <v>0</v>
      </c>
      <c r="CC60" s="208" t="n">
        <f aca="false">Model!CA199</f>
        <v>0</v>
      </c>
      <c r="CD60" s="208" t="n">
        <f aca="false">Model!CB199</f>
        <v>0</v>
      </c>
      <c r="CE60" s="208" t="n">
        <f aca="false">Model!CC199</f>
        <v>0</v>
      </c>
      <c r="CF60" s="208" t="n">
        <f aca="false">Model!CD199</f>
        <v>0</v>
      </c>
      <c r="CG60" s="208" t="n">
        <f aca="false">Model!CE199</f>
        <v>0</v>
      </c>
      <c r="CH60" s="208" t="n">
        <f aca="false">Model!CF199</f>
        <v>0</v>
      </c>
      <c r="CI60" s="208" t="n">
        <f aca="false">Model!CG199</f>
        <v>0</v>
      </c>
      <c r="CJ60" s="208" t="n">
        <f aca="false">Model!CH199</f>
        <v>0</v>
      </c>
      <c r="CK60" s="208" t="n">
        <f aca="false">Model!CI199</f>
        <v>0</v>
      </c>
      <c r="CL60" s="208" t="n">
        <f aca="false">Model!CJ199</f>
        <v>0</v>
      </c>
      <c r="CM60" s="208" t="n">
        <f aca="false">Model!CK199</f>
        <v>0</v>
      </c>
      <c r="CN60" s="208" t="n">
        <f aca="false">Model!CL199</f>
        <v>0</v>
      </c>
      <c r="CO60" s="208" t="n">
        <f aca="false">Model!CM199</f>
        <v>0</v>
      </c>
      <c r="CP60" s="208" t="n">
        <f aca="false">Model!CN199</f>
        <v>0</v>
      </c>
      <c r="CQ60" s="208" t="n">
        <f aca="false">Model!CO199</f>
        <v>0</v>
      </c>
      <c r="CR60" s="208" t="n">
        <f aca="false">Model!CP199</f>
        <v>0</v>
      </c>
      <c r="CS60" s="208" t="n">
        <f aca="false">Model!CQ199</f>
        <v>0</v>
      </c>
      <c r="CT60" s="208" t="n">
        <f aca="false">Model!CR199</f>
        <v>0</v>
      </c>
      <c r="CU60" s="208" t="n">
        <f aca="false">Model!CS199</f>
        <v>0</v>
      </c>
      <c r="CV60" s="208" t="n">
        <f aca="false">Model!CT199</f>
        <v>0</v>
      </c>
      <c r="CW60" s="208" t="n">
        <f aca="false">Model!CU199</f>
        <v>0</v>
      </c>
      <c r="CX60" s="208" t="n">
        <f aca="false">Model!CV199</f>
        <v>0</v>
      </c>
      <c r="CY60" s="208" t="n">
        <f aca="false">Model!CW199</f>
        <v>0</v>
      </c>
      <c r="CZ60" s="208" t="n">
        <f aca="false">Model!CX199</f>
        <v>0</v>
      </c>
      <c r="DA60" s="208" t="n">
        <f aca="false">Model!CY199</f>
        <v>0</v>
      </c>
      <c r="DB60" s="208" t="n">
        <f aca="false">Model!CZ199</f>
        <v>0</v>
      </c>
    </row>
    <row r="61" customFormat="false" ht="15" hidden="false" customHeight="true" outlineLevel="0" collapsed="false">
      <c r="A61" s="94" t="s">
        <v>636</v>
      </c>
      <c r="G61" s="213" t="n">
        <f aca="false">IFERROR(G60/G56,0)</f>
        <v>0.121157878546931</v>
      </c>
      <c r="H61" s="213" t="n">
        <f aca="false">IFERROR(H60/H56,0)</f>
        <v>0.105418977135063</v>
      </c>
      <c r="I61" s="213" t="n">
        <f aca="false">IFERROR(I60/I56,0)</f>
        <v>0.1025790393097</v>
      </c>
      <c r="J61" s="213" t="n">
        <f aca="false">IFERROR(J60/J56,0)</f>
        <v>0.251459036074756</v>
      </c>
      <c r="K61" s="213" t="n">
        <f aca="false">IFERROR(K60/K56,0)</f>
        <v>0.0924583805831464</v>
      </c>
      <c r="L61" s="213" t="n">
        <f aca="false">IFERROR(L60/L56,0)</f>
        <v>0.0538901804140071</v>
      </c>
      <c r="M61" s="213" t="n">
        <f aca="false">IFERROR(M60/M56,0)</f>
        <v>0.0196895443369562</v>
      </c>
      <c r="N61" s="213" t="n">
        <f aca="false">IFERROR(N60/N56,0)</f>
        <v>0.0946991097589387</v>
      </c>
      <c r="O61" s="213" t="n">
        <f aca="false">IFERROR(O60/O56,0)</f>
        <v>0.113432150853605</v>
      </c>
      <c r="P61" s="213" t="n">
        <f aca="false">IFERROR(P60/P56,0)</f>
        <v>0.116145548438352</v>
      </c>
      <c r="Q61" s="213" t="n">
        <f aca="false">IFERROR(Q60/Q56,0)</f>
        <v>0.119553154394762</v>
      </c>
      <c r="R61" s="213" t="n">
        <f aca="false">IFERROR(R60/R56,0)</f>
        <v>0.112712285380867</v>
      </c>
      <c r="S61" s="213" t="n">
        <f aca="false">IFERROR(S60/S56,0)</f>
        <v>0.110196330085498</v>
      </c>
      <c r="T61" s="213" t="n">
        <f aca="false">IFERROR(T60/T56,0)</f>
        <v>0.107923675844828</v>
      </c>
      <c r="U61" s="213" t="n">
        <f aca="false">IFERROR(U60/U56,0)</f>
        <v>0.0483574831660133</v>
      </c>
      <c r="V61" s="213" t="n">
        <f aca="false">IFERROR(V60/V56,0)</f>
        <v>0.11807532707324</v>
      </c>
      <c r="W61" s="213" t="n">
        <f aca="false">IFERROR(W60/W56,0)</f>
        <v>0.113560034347429</v>
      </c>
      <c r="X61" s="213" t="n">
        <f aca="false">IFERROR(X60/X56,0)</f>
        <v>0.11391210283557</v>
      </c>
      <c r="Y61" s="213" t="n">
        <f aca="false">IFERROR(Y60/Y56,0)</f>
        <v>0.111325889395963</v>
      </c>
      <c r="Z61" s="213" t="n">
        <f aca="false">IFERROR(Z60/Z56,0)</f>
        <v>0.110252464517341</v>
      </c>
      <c r="AA61" s="213" t="n">
        <f aca="false">IFERROR(AA60/AA56,0)</f>
        <v>0.106396758158375</v>
      </c>
      <c r="AB61" s="213" t="n">
        <f aca="false">IFERROR(AB60/AB56,0)</f>
        <v>0.106734919607193</v>
      </c>
      <c r="AC61" s="213" t="n">
        <f aca="false">IFERROR(AC60/AC56,0)</f>
        <v>0.105293856681307</v>
      </c>
      <c r="AD61" s="213" t="n">
        <f aca="false">IFERROR(AD60/AD56,0)</f>
        <v>0.10344786291484</v>
      </c>
      <c r="AE61" s="213" t="n">
        <f aca="false">IFERROR(AE60/AE56,0)</f>
        <v>0.102530939849425</v>
      </c>
      <c r="AF61" s="213" t="n">
        <f aca="false">IFERROR(AF60/AF56,0)</f>
        <v>0.105134737074328</v>
      </c>
      <c r="AG61" s="213" t="n">
        <f aca="false">IFERROR(AG60/AG56,0)</f>
        <v>0.107756342056886</v>
      </c>
      <c r="AH61" s="213" t="n">
        <f aca="false">IFERROR(AH60/AH56,0)</f>
        <v>0.134138678785934</v>
      </c>
      <c r="AI61" s="213" t="n">
        <f aca="false">IFERROR(AI60/AI56,0)</f>
        <v>0.114436610111172</v>
      </c>
      <c r="AJ61" s="213" t="n">
        <f aca="false">IFERROR(AJ60/AJ56,0)</f>
        <v>0.0997571691627057</v>
      </c>
      <c r="AK61" s="213" t="n">
        <f aca="false">IFERROR(AK60/AK56,0)</f>
        <v>0.101253616906359</v>
      </c>
      <c r="AL61" s="213" t="n">
        <f aca="false">IFERROR(AL60/AL56,0)</f>
        <v>0.0998146658476392</v>
      </c>
      <c r="AM61" s="213" t="n">
        <f aca="false">IFERROR(AM60/AM56,0)</f>
        <v>0.102609955793569</v>
      </c>
      <c r="AN61" s="213" t="n">
        <f aca="false">IFERROR(AN60/AN56,0)</f>
        <v>0.107726230044359</v>
      </c>
      <c r="AO61" s="213" t="n">
        <f aca="false">IFERROR(AO60/AO56,0)</f>
        <v>0.11345350398058</v>
      </c>
      <c r="AP61" s="213" t="n">
        <f aca="false">IFERROR(AP60/AP56,0)</f>
        <v>0.119933959615073</v>
      </c>
      <c r="AQ61" s="213" t="n">
        <f aca="false">IFERROR(AQ60/AQ56,0)</f>
        <v>0.131623494463484</v>
      </c>
      <c r="AR61" s="213" t="n">
        <f aca="false">IFERROR(AR60/AR56,0)</f>
        <v>0.215590746232221</v>
      </c>
      <c r="AS61" s="213" t="n">
        <f aca="false">IFERROR(AS60/AS56,0)</f>
        <v>0.130013356978026</v>
      </c>
      <c r="AT61" s="213" t="n">
        <f aca="false">IFERROR(AT60/AT56,0)</f>
        <v>0.143673701400666</v>
      </c>
      <c r="AU61" s="213" t="n">
        <f aca="false">IFERROR(AU60/AU56,0)</f>
        <v>0.160366031492309</v>
      </c>
      <c r="AV61" s="213" t="n">
        <f aca="false">IFERROR(AV60/AV56,0)</f>
        <v>0.180792984619276</v>
      </c>
      <c r="AW61" s="213" t="n">
        <f aca="false">IFERROR(AW60/AW56,0)</f>
        <v>0.205874374482486</v>
      </c>
      <c r="AX61" s="213" t="n">
        <f aca="false">IFERROR(AX60/AX56,0)</f>
        <v>0.610641057491253</v>
      </c>
      <c r="AY61" s="213" t="n">
        <f aca="false">IFERROR(AY60/AY56,0)</f>
        <v>0</v>
      </c>
      <c r="AZ61" s="213" t="n">
        <f aca="false">IFERROR(AZ60/AZ56,0)</f>
        <v>0</v>
      </c>
      <c r="BA61" s="213" t="n">
        <f aca="false">IFERROR(BA60/BA56,0)</f>
        <v>0</v>
      </c>
      <c r="BB61" s="213" t="n">
        <f aca="false">IFERROR(BB60/BB56,0)</f>
        <v>0</v>
      </c>
      <c r="BC61" s="213" t="n">
        <f aca="false">IFERROR(BC60/BC56,0)</f>
        <v>0</v>
      </c>
      <c r="BD61" s="213" t="n">
        <f aca="false">IFERROR(BD60/BD56,0)</f>
        <v>0</v>
      </c>
      <c r="BE61" s="213" t="n">
        <f aca="false">IFERROR(BE60/BE56,0)</f>
        <v>0</v>
      </c>
      <c r="BF61" s="213" t="n">
        <f aca="false">IFERROR(BF60/BF56,0)</f>
        <v>0</v>
      </c>
      <c r="BG61" s="213" t="n">
        <f aca="false">IFERROR(BG60/BG56,0)</f>
        <v>0</v>
      </c>
      <c r="BH61" s="213" t="n">
        <f aca="false">IFERROR(BH60/BH56,0)</f>
        <v>0</v>
      </c>
      <c r="BI61" s="213" t="n">
        <f aca="false">IFERROR(BI60/BI56,0)</f>
        <v>0</v>
      </c>
      <c r="BJ61" s="213" t="n">
        <f aca="false">IFERROR(BJ60/BJ56,0)</f>
        <v>0</v>
      </c>
      <c r="BK61" s="213" t="n">
        <f aca="false">IFERROR(BK60/BK56,0)</f>
        <v>0</v>
      </c>
      <c r="BL61" s="213" t="n">
        <f aca="false">IFERROR(BL60/BL56,0)</f>
        <v>0</v>
      </c>
      <c r="BM61" s="213" t="n">
        <f aca="false">IFERROR(BM60/BM56,0)</f>
        <v>0</v>
      </c>
      <c r="BN61" s="213" t="n">
        <f aca="false">IFERROR(BN60/BN56,0)</f>
        <v>0</v>
      </c>
      <c r="BO61" s="213" t="n">
        <f aca="false">IFERROR(BO60/BO56,0)</f>
        <v>0</v>
      </c>
      <c r="BP61" s="213" t="n">
        <f aca="false">IFERROR(BP60/BP56,0)</f>
        <v>0</v>
      </c>
      <c r="BQ61" s="213" t="n">
        <f aca="false">IFERROR(BQ60/BQ56,0)</f>
        <v>0</v>
      </c>
      <c r="BR61" s="213" t="n">
        <f aca="false">IFERROR(BR60/BR56,0)</f>
        <v>0</v>
      </c>
      <c r="BS61" s="213" t="n">
        <f aca="false">IFERROR(BS60/BS56,0)</f>
        <v>0</v>
      </c>
      <c r="BT61" s="213" t="n">
        <f aca="false">IFERROR(BT60/BT56,0)</f>
        <v>0</v>
      </c>
      <c r="BU61" s="213" t="n">
        <f aca="false">IFERROR(BU60/BU56,0)</f>
        <v>0</v>
      </c>
      <c r="BV61" s="213" t="n">
        <f aca="false">IFERROR(BV60/BV56,0)</f>
        <v>0</v>
      </c>
      <c r="BW61" s="213" t="n">
        <f aca="false">IFERROR(BW60/BW56,0)</f>
        <v>0</v>
      </c>
      <c r="BX61" s="213" t="n">
        <f aca="false">IFERROR(BX60/BX56,0)</f>
        <v>0</v>
      </c>
      <c r="BY61" s="213" t="n">
        <f aca="false">IFERROR(BY60/BY56,0)</f>
        <v>0</v>
      </c>
      <c r="BZ61" s="213" t="n">
        <f aca="false">IFERROR(BZ60/BZ56,0)</f>
        <v>0</v>
      </c>
      <c r="CA61" s="213" t="n">
        <f aca="false">IFERROR(CA60/CA56,0)</f>
        <v>0</v>
      </c>
      <c r="CB61" s="213" t="n">
        <f aca="false">IFERROR(CB60/CB56,0)</f>
        <v>0</v>
      </c>
      <c r="CC61" s="213" t="n">
        <f aca="false">IFERROR(CC60/CC56,0)</f>
        <v>0</v>
      </c>
      <c r="CD61" s="213" t="n">
        <f aca="false">IFERROR(CD60/CD56,0)</f>
        <v>0</v>
      </c>
      <c r="CE61" s="213" t="n">
        <f aca="false">IFERROR(CE60/CE56,0)</f>
        <v>0</v>
      </c>
      <c r="CF61" s="213" t="n">
        <f aca="false">IFERROR(CF60/CF56,0)</f>
        <v>0</v>
      </c>
      <c r="CG61" s="213" t="n">
        <f aca="false">IFERROR(CG60/CG56,0)</f>
        <v>0</v>
      </c>
      <c r="CH61" s="213" t="n">
        <f aca="false">IFERROR(CH60/CH56,0)</f>
        <v>0</v>
      </c>
      <c r="CI61" s="213" t="n">
        <f aca="false">IFERROR(CI60/CI56,0)</f>
        <v>0</v>
      </c>
      <c r="CJ61" s="213" t="n">
        <f aca="false">IFERROR(CJ60/CJ56,0)</f>
        <v>0</v>
      </c>
      <c r="CK61" s="213" t="n">
        <f aca="false">IFERROR(CK60/CK56,0)</f>
        <v>0</v>
      </c>
      <c r="CL61" s="213" t="n">
        <f aca="false">IFERROR(CL60/CL56,0)</f>
        <v>0</v>
      </c>
      <c r="CM61" s="213" t="n">
        <f aca="false">IFERROR(CM60/CM56,0)</f>
        <v>0</v>
      </c>
      <c r="CN61" s="213" t="n">
        <f aca="false">IFERROR(CN60/CN56,0)</f>
        <v>0</v>
      </c>
      <c r="CO61" s="213" t="n">
        <f aca="false">IFERROR(CO60/CO56,0)</f>
        <v>0</v>
      </c>
      <c r="CP61" s="213" t="n">
        <f aca="false">IFERROR(CP60/CP56,0)</f>
        <v>0</v>
      </c>
      <c r="CQ61" s="213" t="n">
        <f aca="false">IFERROR(CQ60/CQ56,0)</f>
        <v>0</v>
      </c>
      <c r="CR61" s="213" t="n">
        <f aca="false">IFERROR(CR60/CR56,0)</f>
        <v>0</v>
      </c>
      <c r="CS61" s="213" t="n">
        <f aca="false">IFERROR(CS60/CS56,0)</f>
        <v>0</v>
      </c>
      <c r="CT61" s="213" t="n">
        <f aca="false">IFERROR(CT60/CT56,0)</f>
        <v>0</v>
      </c>
      <c r="CU61" s="213" t="n">
        <f aca="false">IFERROR(CU60/CU56,0)</f>
        <v>0</v>
      </c>
      <c r="CV61" s="213" t="n">
        <f aca="false">IFERROR(CV60/CV56,0)</f>
        <v>0</v>
      </c>
      <c r="CW61" s="213" t="n">
        <f aca="false">IFERROR(CW60/CW56,0)</f>
        <v>0</v>
      </c>
      <c r="CX61" s="213" t="n">
        <f aca="false">IFERROR(CX60/CX56,0)</f>
        <v>0</v>
      </c>
      <c r="CY61" s="213" t="n">
        <f aca="false">IFERROR(CY60/CY56,0)</f>
        <v>0</v>
      </c>
      <c r="CZ61" s="213" t="n">
        <f aca="false">IFERROR(CZ60/CZ56,0)</f>
        <v>0</v>
      </c>
      <c r="DA61" s="213" t="n">
        <f aca="false">IFERROR(DA60/DA56,0)</f>
        <v>0</v>
      </c>
      <c r="DB61" s="213" t="n">
        <f aca="false">IFERROR(DB60/DB56,0)</f>
        <v>0</v>
      </c>
    </row>
    <row r="62" customFormat="false" ht="13.5" hidden="false" customHeight="true" outlineLevel="0" collapsed="false">
      <c r="A62" s="94" t="s">
        <v>637</v>
      </c>
      <c r="G62" s="208" t="n">
        <f aca="false">IF(G61&gt;0,G59/G61,"n/m")</f>
        <v>2223019.11547314</v>
      </c>
      <c r="H62" s="208" t="n">
        <f aca="false">IF(H61&gt;0,H59/H61,"n/m")</f>
        <v>6525811.46863721</v>
      </c>
      <c r="I62" s="208" t="n">
        <f aca="false">IF(I61&gt;0,I59/I61,"n/m")</f>
        <v>4595428.88266674</v>
      </c>
      <c r="J62" s="208" t="n">
        <f aca="false">IF(J61&gt;0,J59/J61,"n/m")</f>
        <v>2060015.49232854</v>
      </c>
      <c r="K62" s="208" t="n">
        <f aca="false">IF(K61&gt;0,K59/K61,"n/m")</f>
        <v>6160376.55437613</v>
      </c>
      <c r="L62" s="208" t="n">
        <f aca="false">IF(L61&gt;0,L59/L61,"n/m")</f>
        <v>11109253.9568561</v>
      </c>
      <c r="M62" s="208" t="n">
        <f aca="false">IF(M61&gt;0,M59/M61,"n/m")</f>
        <v>30513323.1823455</v>
      </c>
      <c r="N62" s="208" t="n">
        <f aca="false">IF(N61&gt;0,N59/N61,"n/m")</f>
        <v>6265037.03336731</v>
      </c>
      <c r="O62" s="208" t="n">
        <f aca="false">IF(O61&gt;0,O59/O61,"n/m")</f>
        <v>6128186.97728653</v>
      </c>
      <c r="P62" s="208" t="n">
        <f aca="false">IF(P61&gt;0,P59/P61,"n/m")</f>
        <v>5301725.64751236</v>
      </c>
      <c r="Q62" s="208" t="n">
        <f aca="false">IF(Q61&gt;0,Q59/Q61,"n/m")</f>
        <v>5311366.19702457</v>
      </c>
      <c r="R62" s="208" t="n">
        <f aca="false">IF(R61&gt;0,R59/R61,"n/m")</f>
        <v>5342058.15244884</v>
      </c>
      <c r="S62" s="208" t="n">
        <f aca="false">IF(S61&gt;0,S59/S61,"n/m")</f>
        <v>5464025.73055599</v>
      </c>
      <c r="T62" s="208" t="n">
        <f aca="false">IF(T61&gt;0,T59/T61,"n/m")</f>
        <v>5562871.89349632</v>
      </c>
      <c r="U62" s="208" t="n">
        <f aca="false">IF(U61&gt;0,U59/U61,"n/m")</f>
        <v>14409803.5583817</v>
      </c>
      <c r="V62" s="208" t="n">
        <f aca="false">IF(V61&gt;0,V59/V61,"n/m")</f>
        <v>5536269.50865462</v>
      </c>
      <c r="W62" s="208" t="n">
        <f aca="false">IF(W61&gt;0,W59/W61,"n/m")</f>
        <v>5756398.69040598</v>
      </c>
      <c r="X62" s="208" t="n">
        <f aca="false">IF(X61&gt;0,X59/X61,"n/m")</f>
        <v>5738607.37119039</v>
      </c>
      <c r="Y62" s="208" t="n">
        <f aca="false">IF(Y61&gt;0,Y59/Y61,"n/m")</f>
        <v>5871921.04681899</v>
      </c>
      <c r="Z62" s="208" t="n">
        <f aca="false">IF(Z61&gt;0,Z59/Z61,"n/m")</f>
        <v>5929090.4367692</v>
      </c>
      <c r="AA62" s="208" t="n">
        <f aca="false">IF(AA61&gt;0,AA59/AA61,"n/m")</f>
        <v>8023710.94548995</v>
      </c>
      <c r="AB62" s="208" t="n">
        <f aca="false">IF(AB61&gt;0,AB59/AB61,"n/m")</f>
        <v>6206687.13112565</v>
      </c>
      <c r="AC62" s="208" t="n">
        <f aca="false">IF(AC61&gt;0,AC59/AC61,"n/m")</f>
        <v>6079771.22157831</v>
      </c>
      <c r="AD62" s="208" t="n">
        <f aca="false">IF(AD61&gt;0,AD59/AD61,"n/m")</f>
        <v>6139548.8866302</v>
      </c>
      <c r="AE62" s="208" t="n">
        <f aca="false">IF(AE61&gt;0,AE59/AE61,"n/m")</f>
        <v>5980635.07035568</v>
      </c>
      <c r="AF62" s="208" t="n">
        <f aca="false">IF(AF61&gt;0,AF59/AF61,"n/m")</f>
        <v>5784584.65305448</v>
      </c>
      <c r="AG62" s="208" t="n">
        <f aca="false">IF(AG61&gt;0,AG59/AG61,"n/m")</f>
        <v>5440400.98679779</v>
      </c>
      <c r="AH62" s="208" t="n">
        <f aca="false">IF(AH61&gt;0,AH59/AH61,"n/m")</f>
        <v>4370385.29800604</v>
      </c>
      <c r="AI62" s="208" t="n">
        <f aca="false">IF(AI61&gt;0,AI59/AI61,"n/m")</f>
        <v>5122816.10832831</v>
      </c>
      <c r="AJ62" s="208" t="n">
        <f aca="false">IF(AJ61&gt;0,AJ59/AJ61,"n/m")</f>
        <v>5876647.4087074</v>
      </c>
      <c r="AK62" s="208" t="n">
        <f aca="false">IF(AK61&gt;0,AK59/AK61,"n/m")</f>
        <v>5789795.24457049</v>
      </c>
      <c r="AL62" s="208" t="n">
        <f aca="false">IF(AL61&gt;0,AL59/AL61,"n/m")</f>
        <v>5873262.25742072</v>
      </c>
      <c r="AM62" s="208" t="n">
        <f aca="false">IF(AM61&gt;0,AM59/AM61,"n/m")</f>
        <v>7662392.05133033</v>
      </c>
      <c r="AN62" s="208" t="n">
        <f aca="false">IF(AN61&gt;0,AN59/AN61,"n/m")</f>
        <v>5543763.14484677</v>
      </c>
      <c r="AO62" s="208" t="n">
        <f aca="false">IF(AO61&gt;0,AO59/AO61,"n/m")</f>
        <v>5263907.08880552</v>
      </c>
      <c r="AP62" s="208" t="n">
        <f aca="false">IF(AP61&gt;0,AP59/AP61,"n/m")</f>
        <v>4979479.58834961</v>
      </c>
      <c r="AQ62" s="208" t="n">
        <f aca="false">IF(AQ61&gt;0,AQ59/AQ61,"n/m")</f>
        <v>4537250.02734131</v>
      </c>
      <c r="AR62" s="208" t="n">
        <f aca="false">IF(AR61&gt;0,AR59/AR61,"n/m")</f>
        <v>2770103.60736877</v>
      </c>
      <c r="AS62" s="208" t="n">
        <f aca="false">IF(AS61&gt;0,AS59/AS61,"n/m")</f>
        <v>4593441.14892853</v>
      </c>
      <c r="AT62" s="208" t="n">
        <f aca="false">IF(AT61&gt;0,AT59/AT61,"n/m")</f>
        <v>4156701.59556725</v>
      </c>
      <c r="AU62" s="208" t="n">
        <f aca="false">IF(AU61&gt;0,AU59/AU61,"n/m")</f>
        <v>3724034.93617563</v>
      </c>
      <c r="AV62" s="208" t="n">
        <f aca="false">IF(AV61&gt;0,AV59/AV61,"n/m")</f>
        <v>3755077.69442962</v>
      </c>
      <c r="AW62" s="208" t="n">
        <f aca="false">IF(AW61&gt;0,AW59/AW61,"n/m")</f>
        <v>2900840.40500148</v>
      </c>
      <c r="AX62" s="208" t="n">
        <f aca="false">IF(AX61&gt;0,AX59/AX61,"n/m")</f>
        <v>978002.865229472</v>
      </c>
      <c r="AY62" s="208" t="str">
        <f aca="false">IF(AY61&gt;0,AY59/AY61,"n/m")</f>
        <v>n/m</v>
      </c>
      <c r="AZ62" s="208" t="str">
        <f aca="false">IF(AZ61&gt;0,AZ59/AZ61,"n/m")</f>
        <v>n/m</v>
      </c>
      <c r="BA62" s="208" t="str">
        <f aca="false">IF(BA61&gt;0,BA59/BA61,"n/m")</f>
        <v>n/m</v>
      </c>
      <c r="BB62" s="208" t="str">
        <f aca="false">IF(BB61&gt;0,BB59/BB61,"n/m")</f>
        <v>n/m</v>
      </c>
      <c r="BC62" s="208" t="str">
        <f aca="false">IF(BC61&gt;0,BC59/BC61,"n/m")</f>
        <v>n/m</v>
      </c>
      <c r="BD62" s="208" t="str">
        <f aca="false">IF(BD61&gt;0,BD59/BD61,"n/m")</f>
        <v>n/m</v>
      </c>
      <c r="BE62" s="208" t="str">
        <f aca="false">IF(BE61&gt;0,BE59/BE61,"n/m")</f>
        <v>n/m</v>
      </c>
      <c r="BF62" s="208" t="str">
        <f aca="false">IF(BF61&gt;0,BF59/BF61,"n/m")</f>
        <v>n/m</v>
      </c>
      <c r="BG62" s="208" t="str">
        <f aca="false">IF(BG61&gt;0,BG59/BG61,"n/m")</f>
        <v>n/m</v>
      </c>
      <c r="BH62" s="208" t="str">
        <f aca="false">IF(BH61&gt;0,BH59/BH61,"n/m")</f>
        <v>n/m</v>
      </c>
      <c r="BI62" s="208" t="str">
        <f aca="false">IF(BI61&gt;0,BI59/BI61,"n/m")</f>
        <v>n/m</v>
      </c>
      <c r="BJ62" s="208" t="str">
        <f aca="false">IF(BJ61&gt;0,BJ59/BJ61,"n/m")</f>
        <v>n/m</v>
      </c>
      <c r="BK62" s="208" t="str">
        <f aca="false">IF(BK61&gt;0,BK59/BK61,"n/m")</f>
        <v>n/m</v>
      </c>
      <c r="BL62" s="208" t="str">
        <f aca="false">IF(BL61&gt;0,BL59/BL61,"n/m")</f>
        <v>n/m</v>
      </c>
      <c r="BM62" s="208" t="str">
        <f aca="false">IF(BM61&gt;0,BM59/BM61,"n/m")</f>
        <v>n/m</v>
      </c>
      <c r="BN62" s="208" t="str">
        <f aca="false">IF(BN61&gt;0,BN59/BN61,"n/m")</f>
        <v>n/m</v>
      </c>
      <c r="BO62" s="208" t="str">
        <f aca="false">IF(BO61&gt;0,BO59/BO61,"n/m")</f>
        <v>n/m</v>
      </c>
      <c r="BP62" s="208" t="str">
        <f aca="false">IF(BP61&gt;0,BP59/BP61,"n/m")</f>
        <v>n/m</v>
      </c>
      <c r="BQ62" s="208" t="str">
        <f aca="false">IF(BQ61&gt;0,BQ59/BQ61,"n/m")</f>
        <v>n/m</v>
      </c>
      <c r="BR62" s="208" t="str">
        <f aca="false">IF(BR61&gt;0,BR59/BR61,"n/m")</f>
        <v>n/m</v>
      </c>
      <c r="BS62" s="208" t="str">
        <f aca="false">IF(BS61&gt;0,BS59/BS61,"n/m")</f>
        <v>n/m</v>
      </c>
      <c r="BT62" s="208" t="str">
        <f aca="false">IF(BT61&gt;0,BT59/BT61,"n/m")</f>
        <v>n/m</v>
      </c>
      <c r="BU62" s="208" t="str">
        <f aca="false">IF(BU61&gt;0,BU59/BU61,"n/m")</f>
        <v>n/m</v>
      </c>
      <c r="BV62" s="208" t="str">
        <f aca="false">IF(BV61&gt;0,BV59/BV61,"n/m")</f>
        <v>n/m</v>
      </c>
      <c r="BW62" s="208" t="str">
        <f aca="false">IF(BW61&gt;0,BW59/BW61,"n/m")</f>
        <v>n/m</v>
      </c>
      <c r="BX62" s="208" t="str">
        <f aca="false">IF(BX61&gt;0,BX59/BX61,"n/m")</f>
        <v>n/m</v>
      </c>
      <c r="BY62" s="208" t="str">
        <f aca="false">IF(BY61&gt;0,BY59/BY61,"n/m")</f>
        <v>n/m</v>
      </c>
      <c r="BZ62" s="208" t="str">
        <f aca="false">IF(BZ61&gt;0,BZ59/BZ61,"n/m")</f>
        <v>n/m</v>
      </c>
      <c r="CA62" s="208" t="str">
        <f aca="false">IF(CA61&gt;0,CA59/CA61,"n/m")</f>
        <v>n/m</v>
      </c>
      <c r="CB62" s="208" t="str">
        <f aca="false">IF(CB61&gt;0,CB59/CB61,"n/m")</f>
        <v>n/m</v>
      </c>
      <c r="CC62" s="208" t="str">
        <f aca="false">IF(CC61&gt;0,CC59/CC61,"n/m")</f>
        <v>n/m</v>
      </c>
      <c r="CD62" s="208" t="str">
        <f aca="false">IF(CD61&gt;0,CD59/CD61,"n/m")</f>
        <v>n/m</v>
      </c>
      <c r="CE62" s="208" t="str">
        <f aca="false">IF(CE61&gt;0,CE59/CE61,"n/m")</f>
        <v>n/m</v>
      </c>
      <c r="CF62" s="208" t="str">
        <f aca="false">IF(CF61&gt;0,CF59/CF61,"n/m")</f>
        <v>n/m</v>
      </c>
      <c r="CG62" s="208" t="str">
        <f aca="false">IF(CG61&gt;0,CG59/CG61,"n/m")</f>
        <v>n/m</v>
      </c>
      <c r="CH62" s="208" t="str">
        <f aca="false">IF(CH61&gt;0,CH59/CH61,"n/m")</f>
        <v>n/m</v>
      </c>
      <c r="CI62" s="208" t="str">
        <f aca="false">IF(CI61&gt;0,CI59/CI61,"n/m")</f>
        <v>n/m</v>
      </c>
      <c r="CJ62" s="208" t="str">
        <f aca="false">IF(CJ61&gt;0,CJ59/CJ61,"n/m")</f>
        <v>n/m</v>
      </c>
      <c r="CK62" s="208" t="str">
        <f aca="false">IF(CK61&gt;0,CK59/CK61,"n/m")</f>
        <v>n/m</v>
      </c>
      <c r="CL62" s="208" t="str">
        <f aca="false">IF(CL61&gt;0,CL59/CL61,"n/m")</f>
        <v>n/m</v>
      </c>
      <c r="CM62" s="208" t="str">
        <f aca="false">IF(CM61&gt;0,CM59/CM61,"n/m")</f>
        <v>n/m</v>
      </c>
      <c r="CN62" s="208" t="str">
        <f aca="false">IF(CN61&gt;0,CN59/CN61,"n/m")</f>
        <v>n/m</v>
      </c>
      <c r="CO62" s="208" t="str">
        <f aca="false">IF(CO61&gt;0,CO59/CO61,"n/m")</f>
        <v>n/m</v>
      </c>
      <c r="CP62" s="208" t="str">
        <f aca="false">IF(CP61&gt;0,CP59/CP61,"n/m")</f>
        <v>n/m</v>
      </c>
      <c r="CQ62" s="208" t="str">
        <f aca="false">IF(CQ61&gt;0,CQ59/CQ61,"n/m")</f>
        <v>n/m</v>
      </c>
      <c r="CR62" s="208" t="str">
        <f aca="false">IF(CR61&gt;0,CR59/CR61,"n/m")</f>
        <v>n/m</v>
      </c>
      <c r="CS62" s="208" t="str">
        <f aca="false">IF(CS61&gt;0,CS59/CS61,"n/m")</f>
        <v>n/m</v>
      </c>
      <c r="CT62" s="208" t="str">
        <f aca="false">IF(CT61&gt;0,CT59/CT61,"n/m")</f>
        <v>n/m</v>
      </c>
      <c r="CU62" s="208" t="str">
        <f aca="false">IF(CU61&gt;0,CU59/CU61,"n/m")</f>
        <v>n/m</v>
      </c>
      <c r="CV62" s="208" t="str">
        <f aca="false">IF(CV61&gt;0,CV59/CV61,"n/m")</f>
        <v>n/m</v>
      </c>
      <c r="CW62" s="208" t="str">
        <f aca="false">IF(CW61&gt;0,CW59/CW61,"n/m")</f>
        <v>n/m</v>
      </c>
      <c r="CX62" s="208" t="str">
        <f aca="false">IF(CX61&gt;0,CX59/CX61,"n/m")</f>
        <v>n/m</v>
      </c>
      <c r="CY62" s="208" t="str">
        <f aca="false">IF(CY61&gt;0,CY59/CY61,"n/m")</f>
        <v>n/m</v>
      </c>
      <c r="CZ62" s="208" t="str">
        <f aca="false">IF(CZ61&gt;0,CZ59/CZ61,"n/m")</f>
        <v>n/m</v>
      </c>
      <c r="DA62" s="208" t="str">
        <f aca="false">IF(DA61&gt;0,DA59/DA61,"n/m")</f>
        <v>n/m</v>
      </c>
      <c r="DB62" s="208" t="str">
        <f aca="false">IF(DB61&gt;0,DB59/DB61,"n/m")</f>
        <v>n/m</v>
      </c>
    </row>
    <row r="63" customFormat="false" ht="13.5" hidden="false" customHeight="true" outlineLevel="0" collapsed="false">
      <c r="A63" s="94" t="s">
        <v>638</v>
      </c>
      <c r="G63" s="213" t="n">
        <f aca="false">IF(ISNUMBER(G62),G56-G62,G60-G59)</f>
        <v>1469338.78452686</v>
      </c>
      <c r="H63" s="213" t="n">
        <f aca="false">IF(ISNUMBER(H62),H56-H62,H60-H59)</f>
        <v>-2109749.83863721</v>
      </c>
      <c r="I63" s="213" t="n">
        <f aca="false">IF(ISNUMBER(I62),I56-I62,I60-I59)</f>
        <v>1656834.09733327</v>
      </c>
      <c r="J63" s="213" t="n">
        <f aca="false">IF(ISNUMBER(J62),J56-J62,J60-J59)</f>
        <v>4965580.15767146</v>
      </c>
      <c r="K63" s="213" t="n">
        <f aca="false">IF(ISNUMBER(K62),K56-K62,K60-K59)</f>
        <v>-95643.5743761258</v>
      </c>
      <c r="L63" s="213" t="n">
        <f aca="false">IF(ISNUMBER(L62),L56-L62,L60-L59)</f>
        <v>-4728371.90685615</v>
      </c>
      <c r="M63" s="213" t="n">
        <f aca="false">IF(ISNUMBER(M62),M56-M62,M60-M59)</f>
        <v>-24649366.6123455</v>
      </c>
      <c r="N63" s="213" t="n">
        <f aca="false">IF(ISNUMBER(N62),N56-N62,N60-N59)</f>
        <v>-1535246.21336731</v>
      </c>
      <c r="O63" s="213" t="n">
        <f aca="false">IF(ISNUMBER(O62),O56-O62,O60-O59)</f>
        <v>-1431512.21628718</v>
      </c>
      <c r="P63" s="213" t="n">
        <f aca="false">IF(ISNUMBER(P62),P56-P62,P60-P59)</f>
        <v>351688.67225532</v>
      </c>
      <c r="Q63" s="213" t="n">
        <f aca="false">IF(ISNUMBER(Q62),Q56-Q62,Q60-Q59)</f>
        <v>425662.88156283</v>
      </c>
      <c r="R63" s="213" t="n">
        <f aca="false">IF(ISNUMBER(R62),R56-R62,R60-R59)</f>
        <v>907079.116124063</v>
      </c>
      <c r="S63" s="213" t="n">
        <f aca="false">IF(ISNUMBER(S62),S56-S62,S60-S59)</f>
        <v>696898.527746039</v>
      </c>
      <c r="T63" s="213" t="n">
        <f aca="false">IF(ISNUMBER(T62),T56-T62,T60-T59)</f>
        <v>603676.15993057</v>
      </c>
      <c r="U63" s="213" t="n">
        <f aca="false">IF(ISNUMBER(U62),U56-U62,U60-U59)</f>
        <v>-6805469.07222721</v>
      </c>
      <c r="V63" s="213" t="n">
        <f aca="false">IF(ISNUMBER(V62),V56-V62,V60-V59)</f>
        <v>3225302.29517407</v>
      </c>
      <c r="W63" s="213" t="n">
        <f aca="false">IF(ISNUMBER(W62),W56-W62,W60-W59)</f>
        <v>2440352.93759159</v>
      </c>
      <c r="X63" s="213" t="n">
        <f aca="false">IF(ISNUMBER(X62),X56-X62,X60-X59)</f>
        <v>3186648.5156255</v>
      </c>
      <c r="Y63" s="213" t="n">
        <f aca="false">IF(ISNUMBER(Y62),Y56-Y62,Y60-Y59)</f>
        <v>1651394.8768813</v>
      </c>
      <c r="Z63" s="213" t="n">
        <f aca="false">IF(ISNUMBER(Z62),Z56-Z62,Z60-Z59)</f>
        <v>3034008.94371971</v>
      </c>
      <c r="AA63" s="213" t="n">
        <f aca="false">IF(ISNUMBER(AA62),AA56-AA62,AA60-AA59)</f>
        <v>-460727.915358868</v>
      </c>
      <c r="AB63" s="213" t="n">
        <f aca="false">IF(ISNUMBER(AB62),AB56-AB62,AB60-AB59)</f>
        <v>2268551.14836046</v>
      </c>
      <c r="AC63" s="213" t="n">
        <f aca="false">IF(ISNUMBER(AC62),AC56-AC62,AC60-AC59)</f>
        <v>1655123.88135069</v>
      </c>
      <c r="AD63" s="213" t="n">
        <f aca="false">IF(ISNUMBER(AD62),AD56-AD62,AD60-AD59)</f>
        <v>398069.652377181</v>
      </c>
      <c r="AE63" s="213" t="n">
        <f aca="false">IF(ISNUMBER(AE62),AE56-AE62,AE60-AE59)</f>
        <v>-323163.99611578</v>
      </c>
      <c r="AF63" s="213" t="n">
        <f aca="false">IF(ISNUMBER(AF62),AF56-AF62,AF60-AF59)</f>
        <v>-52588.8999600355</v>
      </c>
      <c r="AG63" s="213" t="n">
        <f aca="false">IF(ISNUMBER(AG62),AG56-AG62,AG60-AG59)</f>
        <v>69395.7924889447</v>
      </c>
      <c r="AH63" s="213" t="n">
        <f aca="false">IF(ISNUMBER(AH62),AH56-AH62,AH60-AH59)</f>
        <v>1236496.17673731</v>
      </c>
      <c r="AI63" s="213" t="n">
        <f aca="false">IF(ISNUMBER(AI62),AI56-AI62,AI60-AI59)</f>
        <v>867392.580212044</v>
      </c>
      <c r="AJ63" s="213" t="n">
        <f aca="false">IF(ISNUMBER(AJ62),AJ56-AJ62,AJ60-AJ59)</f>
        <v>-371642.627372301</v>
      </c>
      <c r="AK63" s="213" t="n">
        <f aca="false">IF(ISNUMBER(AK62),AK56-AK62,AK60-AK59)</f>
        <v>-426036.400129191</v>
      </c>
      <c r="AL63" s="213" t="n">
        <f aca="false">IF(ISNUMBER(AL62),AL56-AL62,AL60-AL59)</f>
        <v>-1640156.33430812</v>
      </c>
      <c r="AM63" s="213" t="n">
        <f aca="false">IF(ISNUMBER(AM62),AM56-AM62,AM60-AM59)</f>
        <v>-3784246.50360473</v>
      </c>
      <c r="AN63" s="213" t="n">
        <f aca="false">IF(ISNUMBER(AN62),AN56-AN62,AN60-AN59)</f>
        <v>-1719188.08041262</v>
      </c>
      <c r="AO63" s="213" t="n">
        <f aca="false">IF(ISNUMBER(AO62),AO56-AO62,AO60-AO59)</f>
        <v>-1529424.87055977</v>
      </c>
      <c r="AP63" s="213" t="n">
        <f aca="false">IF(ISNUMBER(AP62),AP56-AP62,AP60-AP59)</f>
        <v>-2336170.01839436</v>
      </c>
      <c r="AQ63" s="213" t="n">
        <f aca="false">IF(ISNUMBER(AQ62),AQ56-AQ62,AQ60-AQ59)</f>
        <v>-2426974.46943011</v>
      </c>
      <c r="AR63" s="213" t="n">
        <f aca="false">IF(ISNUMBER(AR62),AR56-AR62,AR60-AR59)</f>
        <v>-865427.979040121</v>
      </c>
      <c r="AS63" s="213" t="n">
        <f aca="false">IF(ISNUMBER(AS62),AS56-AS62,AS60-AS59)</f>
        <v>-3266083.65221853</v>
      </c>
      <c r="AT63" s="213" t="n">
        <f aca="false">IF(ISNUMBER(AT62),AT56-AT62,AT60-AT59)</f>
        <v>-2955547.85361725</v>
      </c>
      <c r="AU63" s="213" t="n">
        <f aca="false">IF(ISNUMBER(AU62),AU56-AU62,AU60-AU59)</f>
        <v>-2647908.01296563</v>
      </c>
      <c r="AV63" s="213" t="n">
        <f aca="false">IF(ISNUMBER(AV62),AV56-AV62,AV60-AV59)</f>
        <v>-2800537.31543962</v>
      </c>
      <c r="AW63" s="213" t="n">
        <f aca="false">IF(ISNUMBER(AW62),AW56-AW62,AW60-AW59)</f>
        <v>-2062590.35814148</v>
      </c>
      <c r="AX63" s="213" t="n">
        <f aca="false">IF(ISNUMBER(AX62),AX56-AX62,AX60-AX59)</f>
        <v>-249162.601459472</v>
      </c>
      <c r="AY63" s="213" t="n">
        <f aca="false">IF(ISNUMBER(AY62),AY56-AY62,AY60-AY59)</f>
        <v>-878890.7038532</v>
      </c>
      <c r="AZ63" s="213" t="n">
        <f aca="false">IF(ISNUMBER(AZ62),AZ56-AZ62,AZ60-AZ59)</f>
        <v>-608399.117930264</v>
      </c>
      <c r="BA63" s="213" t="n">
        <f aca="false">IF(ISNUMBER(BA62),BA56-BA62,BA60-BA59)</f>
        <v>-608399.117930264</v>
      </c>
      <c r="BB63" s="213" t="n">
        <f aca="false">IF(ISNUMBER(BB62),BB56-BB62,BB60-BB59)</f>
        <v>-690081.117930264</v>
      </c>
      <c r="BC63" s="213" t="n">
        <f aca="false">IF(ISNUMBER(BC62),BC56-BC62,BC60-BC59)</f>
        <v>-608399.117930264</v>
      </c>
      <c r="BD63" s="213" t="n">
        <f aca="false">IF(ISNUMBER(BD62),BD56-BD62,BD60-BD59)</f>
        <v>-608399.117930264</v>
      </c>
      <c r="BE63" s="213" t="n">
        <f aca="false">IF(ISNUMBER(BE62),BE56-BE62,BE60-BE59)</f>
        <v>-1541920.11793026</v>
      </c>
      <c r="BF63" s="213" t="n">
        <f aca="false">IF(ISNUMBER(BF62),BF56-BF62,BF60-BF59)</f>
        <v>-608399.117930264</v>
      </c>
      <c r="BG63" s="213" t="n">
        <f aca="false">IF(ISNUMBER(BG62),BG56-BG62,BG60-BG59)</f>
        <v>-608399.117930264</v>
      </c>
      <c r="BH63" s="213" t="n">
        <f aca="false">IF(ISNUMBER(BH62),BH56-BH62,BH60-BH59)</f>
        <v>-739277.117930264</v>
      </c>
      <c r="BI63" s="213" t="n">
        <f aca="false">IF(ISNUMBER(BI62),BI56-BI62,BI60-BI59)</f>
        <v>-608399.117930264</v>
      </c>
      <c r="BJ63" s="213" t="n">
        <f aca="false">IF(ISNUMBER(BJ62),BJ56-BJ62,BJ60-BJ59)</f>
        <v>-608399.117930264</v>
      </c>
      <c r="BK63" s="213" t="n">
        <f aca="false">IF(ISNUMBER(BK62),BK56-BK62,BK60-BK59)</f>
        <v>-939275.117930264</v>
      </c>
      <c r="BL63" s="213" t="n">
        <f aca="false">IF(ISNUMBER(BL62),BL56-BL62,BL60-BL59)</f>
        <v>-619813.340288869</v>
      </c>
      <c r="BM63" s="213" t="n">
        <f aca="false">IF(ISNUMBER(BM62),BM56-BM62,BM60-BM59)</f>
        <v>-619813.340288869</v>
      </c>
      <c r="BN63" s="213" t="n">
        <f aca="false">IF(ISNUMBER(BN62),BN56-BN62,BN60-BN59)</f>
        <v>-750689.340288869</v>
      </c>
      <c r="BO63" s="213" t="n">
        <f aca="false">IF(ISNUMBER(BO62),BO56-BO62,BO60-BO59)</f>
        <v>-619813.340288869</v>
      </c>
      <c r="BP63" s="213" t="n">
        <f aca="false">IF(ISNUMBER(BP62),BP56-BP62,BP60-BP59)</f>
        <v>-619813.340288869</v>
      </c>
      <c r="BQ63" s="213" t="n">
        <f aca="false">IF(ISNUMBER(BQ62),BQ56-BQ62,BQ60-BQ59)</f>
        <v>-750689.340288869</v>
      </c>
      <c r="BR63" s="213" t="n">
        <f aca="false">IF(ISNUMBER(BR62),BR56-BR62,BR60-BR59)</f>
        <v>-619813.340288869</v>
      </c>
      <c r="BS63" s="213" t="n">
        <f aca="false">IF(ISNUMBER(BS62),BS56-BS62,BS60-BS59)</f>
        <v>-619813.340288869</v>
      </c>
      <c r="BT63" s="213" t="n">
        <f aca="false">IF(ISNUMBER(BT62),BT56-BT62,BT60-BT59)</f>
        <v>-708968.990288869</v>
      </c>
      <c r="BU63" s="213" t="n">
        <f aca="false">IF(ISNUMBER(BU62),BU56-BU62,BU60-BU59)</f>
        <v>-619813.340288869</v>
      </c>
      <c r="BV63" s="213" t="n">
        <f aca="false">IF(ISNUMBER(BV62),BV56-BV62,BV60-BV59)</f>
        <v>-619813.340288869</v>
      </c>
      <c r="BW63" s="213" t="n">
        <f aca="false">IF(ISNUMBER(BW62),BW56-BW62,BW60-BW59)</f>
        <v>-894453.340288869</v>
      </c>
      <c r="BX63" s="213" t="n">
        <f aca="false">IF(ISNUMBER(BX62),BX56-BX62,BX60-BX59)</f>
        <v>-631455.847094647</v>
      </c>
      <c r="BY63" s="213" t="n">
        <f aca="false">IF(ISNUMBER(BY62),BY56-BY62,BY60-BY59)</f>
        <v>-631455.847094647</v>
      </c>
      <c r="BZ63" s="213" t="n">
        <f aca="false">IF(ISNUMBER(BZ62),BZ56-BZ62,BZ60-BZ59)</f>
        <v>-706095.847094647</v>
      </c>
      <c r="CA63" s="213" t="n">
        <f aca="false">IF(ISNUMBER(CA62),CA56-CA62,CA60-CA59)</f>
        <v>-631455.847094647</v>
      </c>
      <c r="CB63" s="213" t="n">
        <f aca="false">IF(ISNUMBER(CB62),CB56-CB62,CB60-CB59)</f>
        <v>-631455.847094647</v>
      </c>
      <c r="CC63" s="213" t="n">
        <f aca="false">IF(ISNUMBER(CC62),CC56-CC62,CC60-CC59)</f>
        <v>-706095.847094647</v>
      </c>
      <c r="CD63" s="213" t="n">
        <f aca="false">IF(ISNUMBER(CD62),CD56-CD62,CD60-CD59)</f>
        <v>-631455.847094647</v>
      </c>
      <c r="CE63" s="213" t="n">
        <f aca="false">IF(ISNUMBER(CE62),CE56-CE62,CE60-CE59)</f>
        <v>-631455.847094647</v>
      </c>
      <c r="CF63" s="213" t="n">
        <f aca="false">IF(ISNUMBER(CF62),CF56-CF62,CF60-CF59)</f>
        <v>-712818.847094647</v>
      </c>
      <c r="CG63" s="213" t="n">
        <f aca="false">IF(ISNUMBER(CG62),CG56-CG62,CG60-CG59)</f>
        <v>-631455.847094647</v>
      </c>
      <c r="CH63" s="213" t="n">
        <f aca="false">IF(ISNUMBER(CH62),CH56-CH62,CH60-CH59)</f>
        <v>-631455.847094647</v>
      </c>
      <c r="CI63" s="213" t="n">
        <f aca="false">IF(ISNUMBER(CI62),CI56-CI62,CI60-CI59)</f>
        <v>-912817.847094647</v>
      </c>
      <c r="CJ63" s="213" t="n">
        <f aca="false">IF(ISNUMBER(CJ62),CJ56-CJ62,CJ60-CJ59)</f>
        <v>-643331.20403654</v>
      </c>
      <c r="CK63" s="213" t="n">
        <f aca="false">IF(ISNUMBER(CK62),CK56-CK62,CK60-CK59)</f>
        <v>-643331.20403654</v>
      </c>
      <c r="CL63" s="213" t="n">
        <f aca="false">IF(ISNUMBER(CL62),CL56-CL62,CL60-CL59)</f>
        <v>-718085.177430061</v>
      </c>
      <c r="CM63" s="213" t="n">
        <f aca="false">IF(ISNUMBER(CM62),CM56-CM62,CM60-CM59)</f>
        <v>-643331.20403654</v>
      </c>
      <c r="CN63" s="213" t="n">
        <f aca="false">IF(ISNUMBER(CN62),CN56-CN62,CN60-CN59)</f>
        <v>-643331.20403654</v>
      </c>
      <c r="CO63" s="213" t="n">
        <f aca="false">IF(ISNUMBER(CO62),CO56-CO62,CO60-CO59)</f>
        <v>-643331.20403654</v>
      </c>
      <c r="CP63" s="213" t="n">
        <f aca="false">IF(ISNUMBER(CP62),CP56-CP62,CP60-CP59)</f>
        <v>-643331.20403654</v>
      </c>
      <c r="CQ63" s="213" t="n">
        <f aca="false">IF(ISNUMBER(CQ62),CQ56-CQ62,CQ60-CQ59)</f>
        <v>-643331.20403654</v>
      </c>
      <c r="CR63" s="213" t="n">
        <f aca="false">IF(ISNUMBER(CR62),CR56-CR62,CR60-CR59)</f>
        <v>-643331.20403654</v>
      </c>
      <c r="CS63" s="213" t="n">
        <f aca="false">IF(ISNUMBER(CS62),CS56-CS62,CS60-CS59)</f>
        <v>-643331.20403654</v>
      </c>
      <c r="CT63" s="213" t="n">
        <f aca="false">IF(ISNUMBER(CT62),CT56-CT62,CT60-CT59)</f>
        <v>-643331.20403654</v>
      </c>
      <c r="CU63" s="213" t="n">
        <f aca="false">IF(ISNUMBER(CU62),CU56-CU62,CU60-CU59)</f>
        <v>-843331.20403654</v>
      </c>
      <c r="CV63" s="213" t="n">
        <f aca="false">IF(ISNUMBER(CV62),CV56-CV62,CV60-CV59)</f>
        <v>-608922.812039968</v>
      </c>
      <c r="CW63" s="213" t="n">
        <f aca="false">IF(ISNUMBER(CW62),CW56-CW62,CW60-CW59)</f>
        <v>-608922.812039968</v>
      </c>
      <c r="CX63" s="213" t="n">
        <f aca="false">IF(ISNUMBER(CX62),CX56-CX62,CX60-CX59)</f>
        <v>-608922.812039968</v>
      </c>
      <c r="CY63" s="213" t="n">
        <f aca="false">IF(ISNUMBER(CY62),CY56-CY62,CY60-CY59)</f>
        <v>-608922.812039968</v>
      </c>
      <c r="CZ63" s="213" t="n">
        <f aca="false">IF(ISNUMBER(CZ62),CZ56-CZ62,CZ60-CZ59)</f>
        <v>-608922.812039968</v>
      </c>
      <c r="DA63" s="213" t="n">
        <f aca="false">IF(ISNUMBER(DA62),DA56-DA62,DA60-DA59)</f>
        <v>-608922.812039968</v>
      </c>
      <c r="DB63" s="213" t="n">
        <f aca="false">IF(ISNUMBER(DB62),DB56-DB62,DB60-DB59)</f>
        <v>-608922.812039968</v>
      </c>
    </row>
    <row r="64" customFormat="false" ht="13.5" hidden="false" customHeight="true" outlineLevel="0" collapsed="false">
      <c r="A64" s="94" t="s">
        <v>639</v>
      </c>
      <c r="G64" s="214" t="n">
        <f aca="false">IFERROR(G60/G59,"")</f>
        <v>1.66096542953664</v>
      </c>
      <c r="H64" s="214" t="n">
        <f aca="false">IFERROR(H60/H59,"")</f>
        <v>0.676706897099834</v>
      </c>
      <c r="I64" s="214" t="n">
        <f aca="false">IFERROR(I60/I59,"")</f>
        <v>1.36053960133789</v>
      </c>
      <c r="J64" s="214" t="n">
        <f aca="false">IFERROR(J60/J59,"")</f>
        <v>3.41045767673262</v>
      </c>
      <c r="K64" s="214" t="n">
        <f aca="false">IFERROR(K60/K59,"")</f>
        <v>0.984474394782218</v>
      </c>
      <c r="L64" s="214" t="n">
        <f aca="false">IFERROR(L60/L59,"")</f>
        <v>0.574375387832592</v>
      </c>
      <c r="M64" s="214" t="n">
        <f aca="false">IFERROR(M60/M59,"")</f>
        <v>0.19217692333796</v>
      </c>
      <c r="N64" s="214" t="n">
        <f aca="false">IFERROR(N60/N59,"")</f>
        <v>0.754950177438591</v>
      </c>
      <c r="O64" s="214" t="n">
        <f aca="false">IFERROR(O60/O59,"")</f>
        <v>0.766405264461916</v>
      </c>
      <c r="P64" s="214" t="n">
        <f aca="false">IFERROR(P60/P59,"")</f>
        <v>1.06633475506609</v>
      </c>
      <c r="Q64" s="214" t="n">
        <f aca="false">IFERROR(Q60/Q59,"")</f>
        <v>1.08014188172551</v>
      </c>
      <c r="R64" s="214" t="n">
        <f aca="false">IFERROR(R60/R59,"")</f>
        <v>1.16979955856681</v>
      </c>
      <c r="S64" s="214" t="n">
        <f aca="false">IFERROR(S60/S59,"")</f>
        <v>1.12754305380534</v>
      </c>
      <c r="T64" s="214" t="n">
        <f aca="false">IFERROR(T60/T59,"")</f>
        <v>1.10851879595436</v>
      </c>
      <c r="U64" s="214" t="n">
        <f aca="false">IFERROR(U60/U59,"")</f>
        <v>0.527719510911118</v>
      </c>
      <c r="V64" s="214" t="n">
        <f aca="false">IFERROR(V60/V59,"")</f>
        <v>1.58257682183501</v>
      </c>
      <c r="W64" s="214" t="n">
        <f aca="false">IFERROR(W60/W59,"")</f>
        <v>1.42393744228642</v>
      </c>
      <c r="X64" s="214" t="n">
        <f aca="false">IFERROR(X60/X59,"")</f>
        <v>1.5552999725375</v>
      </c>
      <c r="Y64" s="214" t="n">
        <f aca="false">IFERROR(Y60/Y59,"")</f>
        <v>1.28123587897625</v>
      </c>
      <c r="Z64" s="214" t="n">
        <f aca="false">IFERROR(Z60/Z59,"")</f>
        <v>1.51171574730996</v>
      </c>
      <c r="AA64" s="214" t="n">
        <f aca="false">IFERROR(AA60/AA59,"")</f>
        <v>0.942579198267625</v>
      </c>
      <c r="AB64" s="214" t="n">
        <f aca="false">IFERROR(AB60/AB59,"")</f>
        <v>1.36550112812744</v>
      </c>
      <c r="AC64" s="214" t="n">
        <f aca="false">IFERROR(AC60/AC59,"")</f>
        <v>1.27223456624097</v>
      </c>
      <c r="AD64" s="214" t="n">
        <f aca="false">IFERROR(AD60/AD59,"")</f>
        <v>1.0648369545919</v>
      </c>
      <c r="AE64" s="214" t="n">
        <f aca="false">IFERROR(AE60/AE59,"")</f>
        <v>0.945964936446697</v>
      </c>
      <c r="AF64" s="214" t="n">
        <f aca="false">IFERROR(AF60/AF59,"")</f>
        <v>0.990908785485183</v>
      </c>
      <c r="AG64" s="214" t="n">
        <f aca="false">IFERROR(AG60/AG59,"")</f>
        <v>1.01275563927316</v>
      </c>
      <c r="AH64" s="214" t="n">
        <f aca="false">IFERROR(AH60/AH59,"")</f>
        <v>1.28292612491202</v>
      </c>
      <c r="AI64" s="214" t="n">
        <f aca="false">IFERROR(AI60/AI59,"")</f>
        <v>1.16931948402401</v>
      </c>
      <c r="AJ64" s="214" t="n">
        <f aca="false">IFERROR(AJ60/AJ59,"")</f>
        <v>0.936759413739603</v>
      </c>
      <c r="AK64" s="214" t="n">
        <f aca="false">IFERROR(AK60/AK59,"")</f>
        <v>0.926415981544647</v>
      </c>
      <c r="AL64" s="214" t="n">
        <f aca="false">IFERROR(AL60/AL59,"")</f>
        <v>0.720741853092662</v>
      </c>
      <c r="AM64" s="214" t="n">
        <f aca="false">IFERROR(AM60/AM59,"")</f>
        <v>0.506127267013476</v>
      </c>
      <c r="AN64" s="214" t="n">
        <f aca="false">IFERROR(AN60/AN59,"")</f>
        <v>0.689887891041901</v>
      </c>
      <c r="AO64" s="214" t="n">
        <f aca="false">IFERROR(AO60/AO59,"")</f>
        <v>0.709450633387447</v>
      </c>
      <c r="AP64" s="214" t="n">
        <f aca="false">IFERROR(AP60/AP59,"")</f>
        <v>0.530840527218899</v>
      </c>
      <c r="AQ64" s="214" t="n">
        <f aca="false">IFERROR(AQ60/AQ59,"")</f>
        <v>0.46510012566968</v>
      </c>
      <c r="AR64" s="214" t="n">
        <f aca="false">IFERROR(AR60/AR59,"")</f>
        <v>0.687582812159809</v>
      </c>
      <c r="AS64" s="214" t="n">
        <f aca="false">IFERROR(AS60/AS59,"")</f>
        <v>0.288967998864995</v>
      </c>
      <c r="AT64" s="214" t="n">
        <f aca="false">IFERROR(AT60/AT59,"")</f>
        <v>0.288967998864995</v>
      </c>
      <c r="AU64" s="214" t="n">
        <f aca="false">IFERROR(AU60/AU59,"")</f>
        <v>0.288967998864995</v>
      </c>
      <c r="AV64" s="214" t="n">
        <f aca="false">IFERROR(AV60/AV59,"")</f>
        <v>0.25419990121802</v>
      </c>
      <c r="AW64" s="214" t="n">
        <f aca="false">IFERROR(AW60/AW59,"")</f>
        <v>0.288967998864995</v>
      </c>
      <c r="AX64" s="214" t="n">
        <f aca="false">IFERROR(AX60/AX59,"")</f>
        <v>0.745233260230777</v>
      </c>
      <c r="AY64" s="214" t="n">
        <f aca="false">IFERROR(AY60/AY59,"")</f>
        <v>0</v>
      </c>
      <c r="AZ64" s="214" t="n">
        <f aca="false">IFERROR(AZ60/AZ59,"")</f>
        <v>0</v>
      </c>
      <c r="BA64" s="214" t="n">
        <f aca="false">IFERROR(BA60/BA59,"")</f>
        <v>0</v>
      </c>
      <c r="BB64" s="214" t="n">
        <f aca="false">IFERROR(BB60/BB59,"")</f>
        <v>0</v>
      </c>
      <c r="BC64" s="214" t="n">
        <f aca="false">IFERROR(BC60/BC59,"")</f>
        <v>0</v>
      </c>
      <c r="BD64" s="214" t="n">
        <f aca="false">IFERROR(BD60/BD59,"")</f>
        <v>0</v>
      </c>
      <c r="BE64" s="214" t="n">
        <f aca="false">IFERROR(BE60/BE59,"")</f>
        <v>0</v>
      </c>
      <c r="BF64" s="214" t="n">
        <f aca="false">IFERROR(BF60/BF59,"")</f>
        <v>0</v>
      </c>
      <c r="BG64" s="214" t="n">
        <f aca="false">IFERROR(BG60/BG59,"")</f>
        <v>0</v>
      </c>
      <c r="BH64" s="214" t="n">
        <f aca="false">IFERROR(BH60/BH59,"")</f>
        <v>0</v>
      </c>
      <c r="BI64" s="214" t="n">
        <f aca="false">IFERROR(BI60/BI59,"")</f>
        <v>0</v>
      </c>
      <c r="BJ64" s="214" t="n">
        <f aca="false">IFERROR(BJ60/BJ59,"")</f>
        <v>0</v>
      </c>
      <c r="BK64" s="214" t="n">
        <f aca="false">IFERROR(BK60/BK59,"")</f>
        <v>0</v>
      </c>
      <c r="BL64" s="214" t="n">
        <f aca="false">IFERROR(BL60/BL59,"")</f>
        <v>0</v>
      </c>
      <c r="BM64" s="214" t="n">
        <f aca="false">IFERROR(BM60/BM59,"")</f>
        <v>0</v>
      </c>
      <c r="BN64" s="214" t="n">
        <f aca="false">IFERROR(BN60/BN59,"")</f>
        <v>0</v>
      </c>
      <c r="BO64" s="214" t="n">
        <f aca="false">IFERROR(BO60/BO59,"")</f>
        <v>0</v>
      </c>
      <c r="BP64" s="214" t="n">
        <f aca="false">IFERROR(BP60/BP59,"")</f>
        <v>0</v>
      </c>
      <c r="BQ64" s="214" t="n">
        <f aca="false">IFERROR(BQ60/BQ59,"")</f>
        <v>0</v>
      </c>
      <c r="BR64" s="214" t="n">
        <f aca="false">IFERROR(BR60/BR59,"")</f>
        <v>0</v>
      </c>
      <c r="BS64" s="214" t="n">
        <f aca="false">IFERROR(BS60/BS59,"")</f>
        <v>0</v>
      </c>
      <c r="BT64" s="214" t="n">
        <f aca="false">IFERROR(BT60/BT59,"")</f>
        <v>0</v>
      </c>
      <c r="BU64" s="214" t="n">
        <f aca="false">IFERROR(BU60/BU59,"")</f>
        <v>0</v>
      </c>
      <c r="BV64" s="214" t="n">
        <f aca="false">IFERROR(BV60/BV59,"")</f>
        <v>0</v>
      </c>
      <c r="BW64" s="214" t="n">
        <f aca="false">IFERROR(BW60/BW59,"")</f>
        <v>0</v>
      </c>
      <c r="BX64" s="214" t="n">
        <f aca="false">IFERROR(BX60/BX59,"")</f>
        <v>0</v>
      </c>
      <c r="BY64" s="214" t="n">
        <f aca="false">IFERROR(BY60/BY59,"")</f>
        <v>0</v>
      </c>
      <c r="BZ64" s="214" t="n">
        <f aca="false">IFERROR(BZ60/BZ59,"")</f>
        <v>0</v>
      </c>
      <c r="CA64" s="214" t="n">
        <f aca="false">IFERROR(CA60/CA59,"")</f>
        <v>0</v>
      </c>
      <c r="CB64" s="214" t="n">
        <f aca="false">IFERROR(CB60/CB59,"")</f>
        <v>0</v>
      </c>
      <c r="CC64" s="214" t="n">
        <f aca="false">IFERROR(CC60/CC59,"")</f>
        <v>0</v>
      </c>
      <c r="CD64" s="214" t="n">
        <f aca="false">IFERROR(CD60/CD59,"")</f>
        <v>0</v>
      </c>
      <c r="CE64" s="214" t="n">
        <f aca="false">IFERROR(CE60/CE59,"")</f>
        <v>0</v>
      </c>
      <c r="CF64" s="214" t="n">
        <f aca="false">IFERROR(CF60/CF59,"")</f>
        <v>0</v>
      </c>
      <c r="CG64" s="214" t="n">
        <f aca="false">IFERROR(CG60/CG59,"")</f>
        <v>0</v>
      </c>
      <c r="CH64" s="214" t="n">
        <f aca="false">IFERROR(CH60/CH59,"")</f>
        <v>0</v>
      </c>
      <c r="CI64" s="214" t="n">
        <f aca="false">IFERROR(CI60/CI59,"")</f>
        <v>0</v>
      </c>
      <c r="CJ64" s="214" t="n">
        <f aca="false">IFERROR(CJ60/CJ59,"")</f>
        <v>0</v>
      </c>
      <c r="CK64" s="214" t="n">
        <f aca="false">IFERROR(CK60/CK59,"")</f>
        <v>0</v>
      </c>
      <c r="CL64" s="214" t="n">
        <f aca="false">IFERROR(CL60/CL59,"")</f>
        <v>0</v>
      </c>
      <c r="CM64" s="214" t="n">
        <f aca="false">IFERROR(CM60/CM59,"")</f>
        <v>0</v>
      </c>
      <c r="CN64" s="214" t="n">
        <f aca="false">IFERROR(CN60/CN59,"")</f>
        <v>0</v>
      </c>
      <c r="CO64" s="214" t="n">
        <f aca="false">IFERROR(CO60/CO59,"")</f>
        <v>0</v>
      </c>
      <c r="CP64" s="214" t="n">
        <f aca="false">IFERROR(CP60/CP59,"")</f>
        <v>0</v>
      </c>
      <c r="CQ64" s="214" t="n">
        <f aca="false">IFERROR(CQ60/CQ59,"")</f>
        <v>0</v>
      </c>
      <c r="CR64" s="214" t="n">
        <f aca="false">IFERROR(CR60/CR59,"")</f>
        <v>0</v>
      </c>
      <c r="CS64" s="214" t="n">
        <f aca="false">IFERROR(CS60/CS59,"")</f>
        <v>0</v>
      </c>
      <c r="CT64" s="214" t="n">
        <f aca="false">IFERROR(CT60/CT59,"")</f>
        <v>0</v>
      </c>
      <c r="CU64" s="214" t="n">
        <f aca="false">IFERROR(CU60/CU59,"")</f>
        <v>0</v>
      </c>
      <c r="CV64" s="214" t="n">
        <f aca="false">IFERROR(CV60/CV59,"")</f>
        <v>0</v>
      </c>
      <c r="CW64" s="214" t="n">
        <f aca="false">IFERROR(CW60/CW59,"")</f>
        <v>0</v>
      </c>
      <c r="CX64" s="214" t="n">
        <f aca="false">IFERROR(CX60/CX59,"")</f>
        <v>0</v>
      </c>
      <c r="CY64" s="214" t="n">
        <f aca="false">IFERROR(CY60/CY59,"")</f>
        <v>0</v>
      </c>
      <c r="CZ64" s="214" t="n">
        <f aca="false">IFERROR(CZ60/CZ59,"")</f>
        <v>0</v>
      </c>
      <c r="DA64" s="214" t="n">
        <f aca="false">IFERROR(DA60/DA59,"")</f>
        <v>0</v>
      </c>
      <c r="DB64" s="214" t="n">
        <f aca="false">IFERROR(DB60/DB59,"")</f>
        <v>0</v>
      </c>
    </row>
    <row r="65" customFormat="false" ht="13.5" hidden="false" customHeight="true" outlineLevel="0" collapsed="false">
      <c r="A65" s="94" t="s">
        <v>640</v>
      </c>
      <c r="G65" s="215" t="n">
        <f aca="false">ROUND(G56-Model!E58,0)</f>
        <v>0</v>
      </c>
      <c r="H65" s="215" t="n">
        <f aca="false">ROUND(H56-Model!F58,0)</f>
        <v>0</v>
      </c>
      <c r="I65" s="215" t="n">
        <f aca="false">ROUND(I56-Model!G58,0)</f>
        <v>0</v>
      </c>
      <c r="J65" s="215" t="n">
        <f aca="false">ROUND(J56-Model!H58,0)</f>
        <v>0</v>
      </c>
      <c r="K65" s="215" t="n">
        <f aca="false">ROUND(K56-Model!I58,0)</f>
        <v>0</v>
      </c>
      <c r="L65" s="215" t="n">
        <f aca="false">ROUND(L56-Model!J58,0)</f>
        <v>0</v>
      </c>
      <c r="M65" s="215" t="n">
        <f aca="false">ROUND(M56-Model!K58,0)</f>
        <v>0</v>
      </c>
      <c r="N65" s="215" t="n">
        <f aca="false">ROUND(N56-Model!L58,0)</f>
        <v>0</v>
      </c>
      <c r="O65" s="215" t="n">
        <f aca="false">ROUND(O56-Model!M58,0)</f>
        <v>0</v>
      </c>
      <c r="P65" s="215" t="n">
        <f aca="false">ROUND(P56-Model!N58,0)</f>
        <v>0</v>
      </c>
      <c r="Q65" s="215" t="n">
        <f aca="false">ROUND(Q56-Model!O58,0)</f>
        <v>0</v>
      </c>
      <c r="R65" s="215" t="n">
        <f aca="false">ROUND(R56-Model!P58,0)</f>
        <v>0</v>
      </c>
      <c r="S65" s="215" t="n">
        <f aca="false">ROUND(S56-Model!Q58,0)</f>
        <v>0</v>
      </c>
      <c r="T65" s="215" t="n">
        <f aca="false">ROUND(T56-Model!R58,0)</f>
        <v>0</v>
      </c>
      <c r="U65" s="215" t="n">
        <f aca="false">ROUND(U56-Model!S58,0)</f>
        <v>0</v>
      </c>
      <c r="V65" s="215" t="n">
        <f aca="false">ROUND(V56-Model!T58,0)</f>
        <v>0</v>
      </c>
      <c r="W65" s="215" t="n">
        <f aca="false">ROUND(W56-Model!U58,0)</f>
        <v>0</v>
      </c>
      <c r="X65" s="215" t="n">
        <f aca="false">ROUND(X56-Model!V58,0)</f>
        <v>0</v>
      </c>
      <c r="Y65" s="215" t="n">
        <f aca="false">ROUND(Y56-Model!W58,0)</f>
        <v>0</v>
      </c>
      <c r="Z65" s="215" t="n">
        <f aca="false">ROUND(Z56-Model!X58,0)</f>
        <v>0</v>
      </c>
      <c r="AA65" s="215" t="n">
        <f aca="false">ROUND(AA56-Model!Y58,0)</f>
        <v>0</v>
      </c>
      <c r="AB65" s="215" t="n">
        <f aca="false">ROUND(AB56-Model!Z58,0)</f>
        <v>0</v>
      </c>
      <c r="AC65" s="215" t="n">
        <f aca="false">ROUND(AC56-Model!AA58,0)</f>
        <v>0</v>
      </c>
      <c r="AD65" s="215" t="n">
        <f aca="false">ROUND(AD56-Model!AB58,0)</f>
        <v>0</v>
      </c>
      <c r="AE65" s="215" t="n">
        <f aca="false">ROUND(AE56-Model!AC58,0)</f>
        <v>0</v>
      </c>
      <c r="AF65" s="215" t="n">
        <f aca="false">ROUND(AF56-Model!AD58,0)</f>
        <v>0</v>
      </c>
      <c r="AG65" s="215" t="n">
        <f aca="false">ROUND(AG56-Model!AE58,0)</f>
        <v>0</v>
      </c>
      <c r="AH65" s="215" t="n">
        <f aca="false">ROUND(AH56-Model!AF58,0)</f>
        <v>0</v>
      </c>
      <c r="AI65" s="215" t="n">
        <f aca="false">ROUND(AI56-Model!AG58,0)</f>
        <v>0</v>
      </c>
      <c r="AJ65" s="215" t="n">
        <f aca="false">ROUND(AJ56-Model!AH58,0)</f>
        <v>0</v>
      </c>
      <c r="AK65" s="215" t="n">
        <f aca="false">ROUND(AK56-Model!AI58,0)</f>
        <v>0</v>
      </c>
      <c r="AL65" s="215" t="n">
        <f aca="false">ROUND(AL56-Model!AJ58,0)</f>
        <v>0</v>
      </c>
      <c r="AM65" s="215" t="n">
        <f aca="false">ROUND(AM56-Model!AK58,0)</f>
        <v>0</v>
      </c>
      <c r="AN65" s="215" t="n">
        <f aca="false">ROUND(AN56-Model!AL58,0)</f>
        <v>0</v>
      </c>
      <c r="AO65" s="215" t="n">
        <f aca="false">ROUND(AO56-Model!AM58,0)</f>
        <v>0</v>
      </c>
      <c r="AP65" s="215" t="n">
        <f aca="false">ROUND(AP56-Model!AN58,0)</f>
        <v>0</v>
      </c>
      <c r="AQ65" s="215" t="n">
        <f aca="false">ROUND(AQ56-Model!AO58,0)</f>
        <v>0</v>
      </c>
      <c r="AR65" s="215" t="n">
        <f aca="false">ROUND(AR56-Model!AP58,0)</f>
        <v>0</v>
      </c>
      <c r="AS65" s="215" t="n">
        <f aca="false">ROUND(AS56-Model!AQ58,0)</f>
        <v>0</v>
      </c>
      <c r="AT65" s="215" t="n">
        <f aca="false">ROUND(AT56-Model!AR58,0)</f>
        <v>0</v>
      </c>
      <c r="AU65" s="215" t="n">
        <f aca="false">ROUND(AU56-Model!AS58,0)</f>
        <v>0</v>
      </c>
      <c r="AV65" s="215" t="n">
        <f aca="false">ROUND(AV56-Model!AT58,0)</f>
        <v>0</v>
      </c>
      <c r="AW65" s="215" t="n">
        <f aca="false">ROUND(AW56-Model!AU58,0)</f>
        <v>0</v>
      </c>
      <c r="AX65" s="215" t="n">
        <f aca="false">ROUND(AX56-Model!AV58,0)</f>
        <v>0</v>
      </c>
      <c r="AY65" s="215" t="n">
        <f aca="false">ROUND(AY56-Model!AW58,0)</f>
        <v>0</v>
      </c>
      <c r="AZ65" s="215" t="n">
        <f aca="false">ROUND(AZ56-Model!AX58,0)</f>
        <v>0</v>
      </c>
      <c r="BA65" s="215" t="n">
        <f aca="false">ROUND(BA56-Model!AY58,0)</f>
        <v>0</v>
      </c>
      <c r="BB65" s="215" t="n">
        <f aca="false">ROUND(BB56-Model!AZ58,0)</f>
        <v>0</v>
      </c>
      <c r="BC65" s="215" t="n">
        <f aca="false">ROUND(BC56-Model!BA58,0)</f>
        <v>0</v>
      </c>
      <c r="BD65" s="215" t="n">
        <f aca="false">ROUND(BD56-Model!BB58,0)</f>
        <v>0</v>
      </c>
      <c r="BE65" s="215" t="n">
        <f aca="false">ROUND(BE56-Model!BC58,0)</f>
        <v>0</v>
      </c>
      <c r="BF65" s="215" t="n">
        <f aca="false">ROUND(BF56-Model!BD58,0)</f>
        <v>0</v>
      </c>
      <c r="BG65" s="215" t="n">
        <f aca="false">ROUND(BG56-Model!BE58,0)</f>
        <v>0</v>
      </c>
      <c r="BH65" s="215" t="n">
        <f aca="false">ROUND(BH56-Model!BF58,0)</f>
        <v>0</v>
      </c>
      <c r="BI65" s="215" t="n">
        <f aca="false">ROUND(BI56-Model!BG58,0)</f>
        <v>0</v>
      </c>
      <c r="BJ65" s="215" t="n">
        <f aca="false">ROUND(BJ56-Model!BH58,0)</f>
        <v>0</v>
      </c>
      <c r="BK65" s="215" t="n">
        <f aca="false">ROUND(BK56-Model!BI58,0)</f>
        <v>0</v>
      </c>
      <c r="BL65" s="215" t="n">
        <f aca="false">ROUND(BL56-Model!BJ58,0)</f>
        <v>0</v>
      </c>
      <c r="BM65" s="215" t="n">
        <f aca="false">ROUND(BM56-Model!BK58,0)</f>
        <v>0</v>
      </c>
      <c r="BN65" s="215" t="n">
        <f aca="false">ROUND(BN56-Model!BL58,0)</f>
        <v>0</v>
      </c>
      <c r="BO65" s="215" t="n">
        <f aca="false">ROUND(BO56-Model!BM58,0)</f>
        <v>0</v>
      </c>
      <c r="BP65" s="215" t="n">
        <f aca="false">ROUND(BP56-Model!BN58,0)</f>
        <v>0</v>
      </c>
      <c r="BQ65" s="215" t="n">
        <f aca="false">ROUND(BQ56-Model!BO58,0)</f>
        <v>0</v>
      </c>
      <c r="BR65" s="215" t="n">
        <f aca="false">ROUND(BR56-Model!BP58,0)</f>
        <v>0</v>
      </c>
      <c r="BS65" s="215" t="n">
        <f aca="false">ROUND(BS56-Model!BQ58,0)</f>
        <v>0</v>
      </c>
      <c r="BT65" s="215" t="n">
        <f aca="false">ROUND(BT56-Model!BR58,0)</f>
        <v>0</v>
      </c>
      <c r="BU65" s="215" t="n">
        <f aca="false">ROUND(BU56-Model!BS58,0)</f>
        <v>0</v>
      </c>
      <c r="BV65" s="215" t="n">
        <f aca="false">ROUND(BV56-Model!BT58,0)</f>
        <v>0</v>
      </c>
      <c r="BW65" s="215" t="n">
        <f aca="false">ROUND(BW56-Model!BU58,0)</f>
        <v>0</v>
      </c>
      <c r="BX65" s="215" t="n">
        <f aca="false">ROUND(BX56-Model!BV58,0)</f>
        <v>0</v>
      </c>
      <c r="BY65" s="215" t="n">
        <f aca="false">ROUND(BY56-Model!BW58,0)</f>
        <v>0</v>
      </c>
      <c r="BZ65" s="215" t="n">
        <f aca="false">ROUND(BZ56-Model!BX58,0)</f>
        <v>0</v>
      </c>
      <c r="CA65" s="215" t="n">
        <f aca="false">ROUND(CA56-Model!BY58,0)</f>
        <v>0</v>
      </c>
      <c r="CB65" s="215" t="n">
        <f aca="false">ROUND(CB56-Model!BZ58,0)</f>
        <v>0</v>
      </c>
      <c r="CC65" s="215" t="n">
        <f aca="false">ROUND(CC56-Model!CA58,0)</f>
        <v>0</v>
      </c>
      <c r="CD65" s="215" t="n">
        <f aca="false">ROUND(CD56-Model!CB58,0)</f>
        <v>0</v>
      </c>
      <c r="CE65" s="215" t="n">
        <f aca="false">ROUND(CE56-Model!CC58,0)</f>
        <v>0</v>
      </c>
      <c r="CF65" s="215" t="n">
        <f aca="false">ROUND(CF56-Model!CD58,0)</f>
        <v>0</v>
      </c>
      <c r="CG65" s="215" t="n">
        <f aca="false">ROUND(CG56-Model!CE58,0)</f>
        <v>0</v>
      </c>
      <c r="CH65" s="215" t="n">
        <f aca="false">ROUND(CH56-Model!CF58,0)</f>
        <v>0</v>
      </c>
      <c r="CI65" s="215" t="n">
        <f aca="false">ROUND(CI56-Model!CG58,0)</f>
        <v>0</v>
      </c>
      <c r="CJ65" s="215" t="n">
        <f aca="false">ROUND(CJ56-Model!CH58,0)</f>
        <v>0</v>
      </c>
      <c r="CK65" s="215" t="n">
        <f aca="false">ROUND(CK56-Model!CI58,0)</f>
        <v>0</v>
      </c>
      <c r="CL65" s="215" t="n">
        <f aca="false">ROUND(CL56-Model!CJ58,0)</f>
        <v>0</v>
      </c>
      <c r="CM65" s="215" t="n">
        <f aca="false">ROUND(CM56-Model!CK58,0)</f>
        <v>0</v>
      </c>
      <c r="CN65" s="215" t="n">
        <f aca="false">ROUND(CN56-Model!CL58,0)</f>
        <v>0</v>
      </c>
      <c r="CO65" s="215" t="n">
        <f aca="false">ROUND(CO56-Model!CM58,0)</f>
        <v>0</v>
      </c>
      <c r="CP65" s="215" t="n">
        <f aca="false">ROUND(CP56-Model!CN58,0)</f>
        <v>0</v>
      </c>
      <c r="CQ65" s="215" t="n">
        <f aca="false">ROUND(CQ56-Model!CO58,0)</f>
        <v>0</v>
      </c>
      <c r="CR65" s="215" t="n">
        <f aca="false">ROUND(CR56-Model!CP58,0)</f>
        <v>0</v>
      </c>
      <c r="CS65" s="215" t="n">
        <f aca="false">ROUND(CS56-Model!CQ58,0)</f>
        <v>0</v>
      </c>
      <c r="CT65" s="215" t="n">
        <f aca="false">ROUND(CT56-Model!CR58,0)</f>
        <v>0</v>
      </c>
      <c r="CU65" s="215" t="n">
        <f aca="false">ROUND(CU56-Model!CS58,0)</f>
        <v>0</v>
      </c>
      <c r="CV65" s="215" t="n">
        <f aca="false">ROUND(CV56-Model!CT58,0)</f>
        <v>0</v>
      </c>
      <c r="CW65" s="215" t="n">
        <f aca="false">ROUND(CW56-Model!CU58,0)</f>
        <v>0</v>
      </c>
      <c r="CX65" s="215" t="n">
        <f aca="false">ROUND(CX56-Model!CV58,0)</f>
        <v>0</v>
      </c>
      <c r="CY65" s="215" t="n">
        <f aca="false">ROUND(CY56-Model!CW58,0)</f>
        <v>0</v>
      </c>
      <c r="CZ65" s="215" t="n">
        <f aca="false">ROUND(CZ56-Model!CX58,0)</f>
        <v>0</v>
      </c>
      <c r="DA65" s="215" t="n">
        <f aca="false">ROUND(DA56-Model!CY58,0)</f>
        <v>0</v>
      </c>
      <c r="DB65" s="21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13281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16" t="s">
        <v>641</v>
      </c>
    </row>
    <row r="2" customFormat="false" ht="13.5" hidden="false" customHeight="true" outlineLevel="0" collapsed="false">
      <c r="A2" s="217" t="s">
        <v>642</v>
      </c>
    </row>
    <row r="3" customFormat="false" ht="13.5" hidden="false" customHeight="true" outlineLevel="0" collapsed="false">
      <c r="C3" s="218" t="s">
        <v>643</v>
      </c>
      <c r="D3" s="218" t="s">
        <v>644</v>
      </c>
    </row>
    <row r="4" customFormat="false" ht="13.5" hidden="false" customHeight="true" outlineLevel="0" collapsed="false">
      <c r="A4" s="123" t="s">
        <v>645</v>
      </c>
      <c r="C4" s="118" t="n">
        <f aca="false">COUNTIFS($F$9:$F$100,"GC",$L$9:$L$100,"Current*")-COUNTIFS($A$9:$A$100,"*(Corporate)*",$F$9:$F$100,"GC")</f>
        <v>26</v>
      </c>
      <c r="D4" s="219" t="n">
        <f aca="false">SUMIFS($C$9:$C$100,$F$9:$F$100,"GC",$L$9:$L$100,"Current*")</f>
        <v>3540572</v>
      </c>
    </row>
    <row r="5" customFormat="false" ht="13.5" hidden="false" customHeight="true" outlineLevel="0" collapsed="false">
      <c r="A5" s="123" t="s">
        <v>646</v>
      </c>
      <c r="C5" s="118" t="n">
        <f aca="false">COUNTIFS($F$9:$F$100,"SixPeak",$L$9:$L$100,"Current*")</f>
        <v>8</v>
      </c>
      <c r="D5" s="219" t="n">
        <f aca="false">SUMIFS($C$9:$C$100,$F$9:$F$100,"SixPeak",$L$9:$L$100,"Current*")</f>
        <v>1794500</v>
      </c>
    </row>
    <row r="6" customFormat="false" ht="13.5" hidden="false" customHeight="true" outlineLevel="0" collapsed="false">
      <c r="A6" s="220" t="s">
        <v>647</v>
      </c>
    </row>
    <row r="8" customFormat="false" ht="27" hidden="false" customHeight="true" outlineLevel="0" collapsed="false">
      <c r="A8" s="185" t="s">
        <v>648</v>
      </c>
      <c r="B8" s="185" t="s">
        <v>649</v>
      </c>
      <c r="C8" s="185" t="s">
        <v>650</v>
      </c>
      <c r="D8" s="185" t="s">
        <v>651</v>
      </c>
      <c r="E8" s="185" t="s">
        <v>591</v>
      </c>
      <c r="F8" s="185" t="s">
        <v>600</v>
      </c>
      <c r="G8" s="185" t="s">
        <v>595</v>
      </c>
      <c r="H8" s="185" t="s">
        <v>652</v>
      </c>
      <c r="I8" s="185" t="s">
        <v>653</v>
      </c>
      <c r="J8" s="185" t="s">
        <v>654</v>
      </c>
      <c r="K8" s="185" t="s">
        <v>609</v>
      </c>
      <c r="L8" s="185" t="s">
        <v>655</v>
      </c>
      <c r="M8" s="185" t="s">
        <v>656</v>
      </c>
      <c r="N8" s="185" t="s">
        <v>657</v>
      </c>
      <c r="O8" s="185" t="s">
        <v>658</v>
      </c>
      <c r="P8" s="185" t="s">
        <v>659</v>
      </c>
      <c r="Q8" s="185" t="s">
        <v>660</v>
      </c>
    </row>
    <row r="9" customFormat="false" ht="13.5" hidden="false" customHeight="true" outlineLevel="0" collapsed="false">
      <c r="A9" s="221" t="s">
        <v>661</v>
      </c>
      <c r="B9" s="222"/>
      <c r="C9" s="222"/>
      <c r="D9" s="222"/>
      <c r="E9" s="222"/>
      <c r="F9" s="222"/>
      <c r="G9" s="222"/>
      <c r="H9" s="222"/>
      <c r="I9" s="222"/>
      <c r="J9" s="222"/>
      <c r="K9" s="222"/>
      <c r="L9" s="222"/>
      <c r="M9" s="222"/>
      <c r="N9" s="222"/>
      <c r="O9" s="222"/>
      <c r="P9" s="222"/>
    </row>
    <row r="10" customFormat="false" ht="13.5" hidden="false" customHeight="true" outlineLevel="0" collapsed="false">
      <c r="A10" s="109" t="s">
        <v>662</v>
      </c>
      <c r="B10" s="109" t="s">
        <v>663</v>
      </c>
      <c r="C10" s="223" t="n">
        <v>70000</v>
      </c>
      <c r="D10" s="223" t="n">
        <f aca="false">C10/12</f>
        <v>5833.33333333333</v>
      </c>
      <c r="E10" s="192" t="n">
        <v>1</v>
      </c>
      <c r="F10" s="109" t="s">
        <v>664</v>
      </c>
      <c r="G10" s="192" t="s">
        <v>612</v>
      </c>
      <c r="H10" s="224" t="n">
        <v>0</v>
      </c>
      <c r="I10" s="224" t="n">
        <v>0</v>
      </c>
      <c r="J10" s="109" t="s">
        <v>665</v>
      </c>
      <c r="K10" s="192"/>
      <c r="L10" s="109" t="s">
        <v>666</v>
      </c>
      <c r="M10" s="109"/>
      <c r="N10" s="109"/>
      <c r="O10" s="109" t="s">
        <v>664</v>
      </c>
      <c r="P10" s="109" t="s">
        <v>667</v>
      </c>
      <c r="Q10" s="1" t="s">
        <v>612</v>
      </c>
    </row>
    <row r="11" customFormat="false" ht="13.5" hidden="false" customHeight="true" outlineLevel="0" collapsed="false">
      <c r="A11" s="225" t="s">
        <v>668</v>
      </c>
      <c r="B11" s="225" t="s">
        <v>669</v>
      </c>
      <c r="C11" s="226" t="n">
        <v>80000</v>
      </c>
      <c r="D11" s="226" t="n">
        <f aca="false">C11/12</f>
        <v>6666.66666666667</v>
      </c>
      <c r="E11" s="227" t="n">
        <v>1</v>
      </c>
      <c r="F11" s="225" t="s">
        <v>664</v>
      </c>
      <c r="G11" s="227" t="s">
        <v>612</v>
      </c>
      <c r="H11" s="228" t="n">
        <v>0.5</v>
      </c>
      <c r="I11" s="228" t="n">
        <v>0</v>
      </c>
      <c r="J11" s="225" t="s">
        <v>665</v>
      </c>
      <c r="K11" s="227"/>
      <c r="L11" s="225" t="s">
        <v>666</v>
      </c>
      <c r="M11" s="225"/>
      <c r="N11" s="225"/>
      <c r="O11" s="225" t="s">
        <v>664</v>
      </c>
      <c r="P11" s="225" t="s">
        <v>667</v>
      </c>
      <c r="Q11" s="1" t="s">
        <v>612</v>
      </c>
    </row>
    <row r="12" customFormat="false" ht="13.5" hidden="false" customHeight="true" outlineLevel="0" collapsed="false">
      <c r="A12" s="109" t="s">
        <v>670</v>
      </c>
      <c r="B12" s="109" t="s">
        <v>671</v>
      </c>
      <c r="C12" s="223" t="n">
        <v>25000</v>
      </c>
      <c r="D12" s="223" t="n">
        <f aca="false">C12/12</f>
        <v>2083.33333333333</v>
      </c>
      <c r="E12" s="192" t="n">
        <v>1</v>
      </c>
      <c r="F12" s="109" t="s">
        <v>664</v>
      </c>
      <c r="G12" s="192" t="s">
        <v>612</v>
      </c>
      <c r="H12" s="224" t="n">
        <v>0.5</v>
      </c>
      <c r="I12" s="224" t="n">
        <v>0</v>
      </c>
      <c r="J12" s="109" t="s">
        <v>665</v>
      </c>
      <c r="K12" s="192" t="n">
        <v>9</v>
      </c>
      <c r="L12" s="109" t="s">
        <v>672</v>
      </c>
      <c r="M12" s="109"/>
      <c r="N12" s="109" t="s">
        <v>673</v>
      </c>
      <c r="O12" s="109" t="s">
        <v>664</v>
      </c>
      <c r="P12" s="109" t="s">
        <v>667</v>
      </c>
      <c r="Q12" s="1" t="s">
        <v>612</v>
      </c>
    </row>
    <row r="13" customFormat="false" ht="13.5" hidden="false" customHeight="true" outlineLevel="0" collapsed="false">
      <c r="A13" s="225" t="s">
        <v>674</v>
      </c>
      <c r="B13" s="225" t="s">
        <v>671</v>
      </c>
      <c r="C13" s="226" t="n">
        <v>10000</v>
      </c>
      <c r="D13" s="226" t="n">
        <f aca="false">C13/12</f>
        <v>833.333333333333</v>
      </c>
      <c r="E13" s="227" t="n">
        <v>1</v>
      </c>
      <c r="F13" s="225" t="s">
        <v>664</v>
      </c>
      <c r="G13" s="227" t="s">
        <v>612</v>
      </c>
      <c r="H13" s="228" t="n">
        <v>0</v>
      </c>
      <c r="I13" s="228" t="n">
        <v>0</v>
      </c>
      <c r="J13" s="225" t="s">
        <v>665</v>
      </c>
      <c r="K13" s="227"/>
      <c r="L13" s="225" t="s">
        <v>666</v>
      </c>
      <c r="M13" s="225"/>
      <c r="N13" s="225"/>
      <c r="O13" s="225" t="s">
        <v>664</v>
      </c>
      <c r="P13" s="225" t="s">
        <v>667</v>
      </c>
      <c r="Q13" s="1" t="s">
        <v>612</v>
      </c>
    </row>
    <row r="14" customFormat="false" ht="13.5" hidden="false" customHeight="true" outlineLevel="0" collapsed="false">
      <c r="A14" s="109" t="s">
        <v>675</v>
      </c>
      <c r="B14" s="109" t="s">
        <v>676</v>
      </c>
      <c r="C14" s="223" t="n">
        <v>20000</v>
      </c>
      <c r="D14" s="223" t="n">
        <f aca="false">C14/12</f>
        <v>1666.66666666667</v>
      </c>
      <c r="E14" s="192" t="n">
        <v>1</v>
      </c>
      <c r="F14" s="109" t="s">
        <v>664</v>
      </c>
      <c r="G14" s="192" t="s">
        <v>612</v>
      </c>
      <c r="H14" s="224" t="n">
        <v>0</v>
      </c>
      <c r="I14" s="224" t="n">
        <v>0</v>
      </c>
      <c r="J14" s="109" t="s">
        <v>665</v>
      </c>
      <c r="K14" s="192"/>
      <c r="L14" s="109" t="s">
        <v>666</v>
      </c>
      <c r="M14" s="109"/>
      <c r="N14" s="109"/>
      <c r="O14" s="109" t="s">
        <v>664</v>
      </c>
      <c r="P14" s="109" t="s">
        <v>667</v>
      </c>
      <c r="Q14" s="1" t="s">
        <v>612</v>
      </c>
    </row>
    <row r="16" customFormat="false" ht="13.5" hidden="false" customHeight="true" outlineLevel="0" collapsed="false">
      <c r="A16" s="221" t="s">
        <v>677</v>
      </c>
      <c r="B16" s="222"/>
      <c r="C16" s="222"/>
      <c r="D16" s="222"/>
      <c r="E16" s="222"/>
      <c r="F16" s="222"/>
      <c r="G16" s="222"/>
      <c r="H16" s="222"/>
      <c r="I16" s="222"/>
      <c r="J16" s="222"/>
      <c r="K16" s="222"/>
      <c r="L16" s="222"/>
      <c r="M16" s="222"/>
      <c r="N16" s="222"/>
      <c r="O16" s="222"/>
      <c r="P16" s="222"/>
    </row>
    <row r="17" customFormat="false" ht="13.5" hidden="false" customHeight="true" outlineLevel="0" collapsed="false">
      <c r="A17" s="109" t="s">
        <v>678</v>
      </c>
      <c r="B17" s="109" t="s">
        <v>669</v>
      </c>
      <c r="C17" s="223" t="n">
        <v>320000</v>
      </c>
      <c r="D17" s="223" t="n">
        <f aca="false">C17/12</f>
        <v>26666.6666666667</v>
      </c>
      <c r="E17" s="192" t="n">
        <v>1</v>
      </c>
      <c r="F17" s="109" t="s">
        <v>664</v>
      </c>
      <c r="G17" s="192" t="s">
        <v>612</v>
      </c>
      <c r="H17" s="224" t="n">
        <v>0.5</v>
      </c>
      <c r="I17" s="224" t="n">
        <v>0</v>
      </c>
      <c r="J17" s="109" t="s">
        <v>679</v>
      </c>
      <c r="K17" s="192"/>
      <c r="L17" s="109" t="s">
        <v>666</v>
      </c>
      <c r="M17" s="109"/>
      <c r="N17" s="109"/>
      <c r="O17" s="109" t="s">
        <v>664</v>
      </c>
      <c r="P17" s="109" t="s">
        <v>667</v>
      </c>
      <c r="Q17" s="1" t="s">
        <v>612</v>
      </c>
    </row>
    <row r="18" customFormat="false" ht="13.5" hidden="false" customHeight="true" outlineLevel="0" collapsed="false">
      <c r="A18" s="225" t="s">
        <v>680</v>
      </c>
      <c r="B18" s="225" t="s">
        <v>671</v>
      </c>
      <c r="C18" s="226" t="n">
        <v>225000</v>
      </c>
      <c r="D18" s="226" t="n">
        <f aca="false">C18/12</f>
        <v>18750</v>
      </c>
      <c r="E18" s="227" t="n">
        <v>1</v>
      </c>
      <c r="F18" s="225" t="s">
        <v>664</v>
      </c>
      <c r="G18" s="227" t="s">
        <v>612</v>
      </c>
      <c r="H18" s="228" t="n">
        <v>0.5</v>
      </c>
      <c r="I18" s="228" t="n">
        <v>0</v>
      </c>
      <c r="J18" s="225" t="s">
        <v>679</v>
      </c>
      <c r="K18" s="227" t="n">
        <v>9</v>
      </c>
      <c r="L18" s="225" t="s">
        <v>672</v>
      </c>
      <c r="M18" s="225"/>
      <c r="N18" s="225" t="s">
        <v>673</v>
      </c>
      <c r="O18" s="225" t="s">
        <v>664</v>
      </c>
      <c r="P18" s="225" t="s">
        <v>667</v>
      </c>
      <c r="Q18" s="1" t="s">
        <v>612</v>
      </c>
    </row>
    <row r="19" customFormat="false" ht="13.5" hidden="false" customHeight="true" outlineLevel="0" collapsed="false">
      <c r="A19" s="109" t="s">
        <v>681</v>
      </c>
      <c r="B19" s="109" t="s">
        <v>671</v>
      </c>
      <c r="C19" s="223" t="n">
        <v>180000</v>
      </c>
      <c r="D19" s="223" t="n">
        <f aca="false">C19/12</f>
        <v>15000</v>
      </c>
      <c r="E19" s="192" t="n">
        <v>1</v>
      </c>
      <c r="F19" s="109" t="s">
        <v>664</v>
      </c>
      <c r="G19" s="192" t="s">
        <v>612</v>
      </c>
      <c r="H19" s="224" t="n">
        <v>0</v>
      </c>
      <c r="I19" s="224" t="n">
        <v>0</v>
      </c>
      <c r="J19" s="109" t="s">
        <v>679</v>
      </c>
      <c r="K19" s="192"/>
      <c r="L19" s="109" t="s">
        <v>666</v>
      </c>
      <c r="M19" s="109"/>
      <c r="N19" s="109"/>
      <c r="O19" s="109" t="s">
        <v>664</v>
      </c>
      <c r="P19" s="109" t="s">
        <v>682</v>
      </c>
      <c r="Q19" s="1" t="s">
        <v>612</v>
      </c>
    </row>
    <row r="20" customFormat="false" ht="13.5" hidden="false" customHeight="true" outlineLevel="0" collapsed="false">
      <c r="A20" s="225" t="s">
        <v>683</v>
      </c>
      <c r="B20" s="225" t="s">
        <v>676</v>
      </c>
      <c r="C20" s="226" t="n">
        <v>180000</v>
      </c>
      <c r="D20" s="226" t="n">
        <f aca="false">C20/12</f>
        <v>15000</v>
      </c>
      <c r="E20" s="227" t="n">
        <v>1</v>
      </c>
      <c r="F20" s="225" t="s">
        <v>664</v>
      </c>
      <c r="G20" s="227" t="s">
        <v>612</v>
      </c>
      <c r="H20" s="228" t="n">
        <v>0</v>
      </c>
      <c r="I20" s="228" t="n">
        <v>0</v>
      </c>
      <c r="J20" s="225" t="s">
        <v>679</v>
      </c>
      <c r="K20" s="227"/>
      <c r="L20" s="225" t="s">
        <v>666</v>
      </c>
      <c r="M20" s="225"/>
      <c r="N20" s="225"/>
      <c r="O20" s="225" t="s">
        <v>664</v>
      </c>
      <c r="P20" s="225" t="s">
        <v>682</v>
      </c>
      <c r="Q20" s="1" t="s">
        <v>612</v>
      </c>
    </row>
    <row r="21" customFormat="false" ht="13.5" hidden="false" customHeight="true" outlineLevel="0" collapsed="false">
      <c r="A21" s="109" t="s">
        <v>684</v>
      </c>
      <c r="B21" s="109" t="s">
        <v>685</v>
      </c>
      <c r="C21" s="223" t="n">
        <v>105000</v>
      </c>
      <c r="D21" s="223" t="n">
        <f aca="false">C21/12</f>
        <v>8750</v>
      </c>
      <c r="E21" s="192" t="n">
        <v>3</v>
      </c>
      <c r="F21" s="109" t="s">
        <v>664</v>
      </c>
      <c r="G21" s="192" t="s">
        <v>612</v>
      </c>
      <c r="H21" s="224" t="n">
        <v>0</v>
      </c>
      <c r="I21" s="224" t="n">
        <v>0</v>
      </c>
      <c r="J21" s="109" t="s">
        <v>679</v>
      </c>
      <c r="K21" s="192"/>
      <c r="L21" s="109" t="s">
        <v>666</v>
      </c>
      <c r="M21" s="109"/>
      <c r="N21" s="109"/>
      <c r="O21" s="109" t="s">
        <v>664</v>
      </c>
      <c r="P21" s="109" t="s">
        <v>686</v>
      </c>
      <c r="Q21" s="1" t="s">
        <v>612</v>
      </c>
    </row>
    <row r="22" customFormat="false" ht="13.5" hidden="false" customHeight="true" outlineLevel="0" collapsed="false">
      <c r="A22" s="225" t="s">
        <v>687</v>
      </c>
      <c r="B22" s="225" t="s">
        <v>688</v>
      </c>
      <c r="C22" s="226" t="n">
        <v>155000</v>
      </c>
      <c r="D22" s="226" t="n">
        <f aca="false">C22/12</f>
        <v>12916.6666666667</v>
      </c>
      <c r="E22" s="227" t="n">
        <v>1</v>
      </c>
      <c r="F22" s="225" t="s">
        <v>664</v>
      </c>
      <c r="G22" s="227" t="s">
        <v>612</v>
      </c>
      <c r="H22" s="228" t="n">
        <v>0</v>
      </c>
      <c r="I22" s="228" t="n">
        <v>0</v>
      </c>
      <c r="J22" s="225" t="s">
        <v>679</v>
      </c>
      <c r="K22" s="227"/>
      <c r="L22" s="225" t="s">
        <v>666</v>
      </c>
      <c r="M22" s="225"/>
      <c r="N22" s="225"/>
      <c r="O22" s="225" t="s">
        <v>664</v>
      </c>
      <c r="P22" s="225" t="s">
        <v>682</v>
      </c>
      <c r="Q22" s="1" t="s">
        <v>612</v>
      </c>
    </row>
    <row r="23" customFormat="false" ht="13.5" hidden="false" customHeight="true" outlineLevel="0" collapsed="false">
      <c r="A23" s="109" t="s">
        <v>689</v>
      </c>
      <c r="B23" s="109" t="s">
        <v>690</v>
      </c>
      <c r="C23" s="223" t="n">
        <v>185000</v>
      </c>
      <c r="D23" s="223" t="n">
        <f aca="false">C23/12</f>
        <v>15416.6666666667</v>
      </c>
      <c r="E23" s="192" t="n">
        <v>1</v>
      </c>
      <c r="F23" s="109" t="s">
        <v>664</v>
      </c>
      <c r="G23" s="192" t="s">
        <v>612</v>
      </c>
      <c r="H23" s="224" t="n">
        <v>0</v>
      </c>
      <c r="I23" s="224" t="n">
        <v>0</v>
      </c>
      <c r="J23" s="109" t="s">
        <v>679</v>
      </c>
      <c r="K23" s="192"/>
      <c r="L23" s="109" t="s">
        <v>666</v>
      </c>
      <c r="M23" s="109"/>
      <c r="N23" s="109"/>
      <c r="O23" s="109" t="s">
        <v>664</v>
      </c>
      <c r="P23" s="109" t="s">
        <v>691</v>
      </c>
      <c r="Q23" s="1" t="s">
        <v>612</v>
      </c>
    </row>
    <row r="24" customFormat="false" ht="13.5" hidden="false" customHeight="true" outlineLevel="0" collapsed="false">
      <c r="A24" s="225" t="s">
        <v>692</v>
      </c>
      <c r="B24" s="225" t="s">
        <v>693</v>
      </c>
      <c r="C24" s="226" t="n">
        <v>90000</v>
      </c>
      <c r="D24" s="226" t="n">
        <f aca="false">C24/12</f>
        <v>7500</v>
      </c>
      <c r="E24" s="227" t="n">
        <v>3</v>
      </c>
      <c r="F24" s="225" t="s">
        <v>664</v>
      </c>
      <c r="G24" s="227" t="s">
        <v>612</v>
      </c>
      <c r="H24" s="228" t="n">
        <v>0</v>
      </c>
      <c r="I24" s="228" t="n">
        <v>0</v>
      </c>
      <c r="J24" s="225" t="s">
        <v>679</v>
      </c>
      <c r="K24" s="227"/>
      <c r="L24" s="225" t="s">
        <v>666</v>
      </c>
      <c r="M24" s="225"/>
      <c r="N24" s="225"/>
      <c r="O24" s="225" t="s">
        <v>664</v>
      </c>
      <c r="P24" s="225" t="s">
        <v>694</v>
      </c>
      <c r="Q24" s="1" t="s">
        <v>612</v>
      </c>
    </row>
    <row r="25" customFormat="false" ht="13.5" hidden="false" customHeight="true" outlineLevel="0" collapsed="false">
      <c r="A25" s="109" t="s">
        <v>695</v>
      </c>
      <c r="B25" s="109" t="s">
        <v>693</v>
      </c>
      <c r="C25" s="223" t="n">
        <v>97500</v>
      </c>
      <c r="D25" s="223" t="n">
        <f aca="false">C25/12</f>
        <v>8125</v>
      </c>
      <c r="E25" s="192" t="n">
        <v>1</v>
      </c>
      <c r="F25" s="109" t="s">
        <v>664</v>
      </c>
      <c r="G25" s="192" t="s">
        <v>612</v>
      </c>
      <c r="H25" s="224" t="n">
        <v>0</v>
      </c>
      <c r="I25" s="224" t="n">
        <v>0</v>
      </c>
      <c r="J25" s="109" t="s">
        <v>679</v>
      </c>
      <c r="K25" s="192"/>
      <c r="L25" s="109" t="s">
        <v>666</v>
      </c>
      <c r="M25" s="109"/>
      <c r="N25" s="109"/>
      <c r="O25" s="109" t="s">
        <v>664</v>
      </c>
      <c r="P25" s="109" t="s">
        <v>694</v>
      </c>
      <c r="Q25" s="1" t="s">
        <v>612</v>
      </c>
    </row>
    <row r="26" customFormat="false" ht="13.5" hidden="false" customHeight="true" outlineLevel="0" collapsed="false">
      <c r="A26" s="225" t="s">
        <v>696</v>
      </c>
      <c r="B26" s="225" t="s">
        <v>690</v>
      </c>
      <c r="C26" s="226" t="n">
        <v>150000</v>
      </c>
      <c r="D26" s="226" t="n">
        <f aca="false">C26/12</f>
        <v>12500</v>
      </c>
      <c r="E26" s="227" t="n">
        <v>1</v>
      </c>
      <c r="F26" s="225" t="s">
        <v>664</v>
      </c>
      <c r="G26" s="227" t="s">
        <v>612</v>
      </c>
      <c r="H26" s="228" t="n">
        <v>0</v>
      </c>
      <c r="I26" s="228" t="n">
        <v>0</v>
      </c>
      <c r="J26" s="225" t="s">
        <v>679</v>
      </c>
      <c r="K26" s="227"/>
      <c r="L26" s="225" t="s">
        <v>666</v>
      </c>
      <c r="M26" s="225"/>
      <c r="N26" s="225"/>
      <c r="O26" s="225" t="s">
        <v>664</v>
      </c>
      <c r="P26" s="225" t="s">
        <v>691</v>
      </c>
      <c r="Q26" s="1" t="s">
        <v>612</v>
      </c>
    </row>
    <row r="27" customFormat="false" ht="13.5" hidden="false" customHeight="true" outlineLevel="0" collapsed="false">
      <c r="A27" s="109" t="s">
        <v>697</v>
      </c>
      <c r="B27" s="109" t="s">
        <v>690</v>
      </c>
      <c r="C27" s="223" t="n">
        <v>150000</v>
      </c>
      <c r="D27" s="223" t="n">
        <f aca="false">C27/12</f>
        <v>12500</v>
      </c>
      <c r="E27" s="192" t="n">
        <v>1</v>
      </c>
      <c r="F27" s="109" t="s">
        <v>664</v>
      </c>
      <c r="G27" s="192" t="s">
        <v>612</v>
      </c>
      <c r="H27" s="224" t="n">
        <v>0</v>
      </c>
      <c r="I27" s="224" t="n">
        <v>0</v>
      </c>
      <c r="J27" s="109" t="s">
        <v>679</v>
      </c>
      <c r="K27" s="192"/>
      <c r="L27" s="109" t="s">
        <v>666</v>
      </c>
      <c r="M27" s="109"/>
      <c r="N27" s="109"/>
      <c r="O27" s="109" t="s">
        <v>664</v>
      </c>
      <c r="P27" s="109" t="s">
        <v>691</v>
      </c>
      <c r="Q27" s="1" t="s">
        <v>612</v>
      </c>
    </row>
    <row r="28" customFormat="false" ht="13.5" hidden="false" customHeight="true" outlineLevel="0" collapsed="false">
      <c r="A28" s="225" t="s">
        <v>698</v>
      </c>
      <c r="B28" s="225" t="s">
        <v>690</v>
      </c>
      <c r="C28" s="226" t="n">
        <v>170000</v>
      </c>
      <c r="D28" s="226" t="n">
        <f aca="false">C28/12</f>
        <v>14166.6666666667</v>
      </c>
      <c r="E28" s="227" t="n">
        <v>2</v>
      </c>
      <c r="F28" s="225" t="s">
        <v>664</v>
      </c>
      <c r="G28" s="227" t="s">
        <v>612</v>
      </c>
      <c r="H28" s="228" t="n">
        <v>0</v>
      </c>
      <c r="I28" s="228" t="n">
        <v>0</v>
      </c>
      <c r="J28" s="225" t="s">
        <v>679</v>
      </c>
      <c r="K28" s="227"/>
      <c r="L28" s="225" t="s">
        <v>666</v>
      </c>
      <c r="M28" s="225"/>
      <c r="N28" s="225"/>
      <c r="O28" s="225" t="s">
        <v>664</v>
      </c>
      <c r="P28" s="225" t="s">
        <v>691</v>
      </c>
      <c r="Q28" s="1" t="s">
        <v>612</v>
      </c>
    </row>
    <row r="29" customFormat="false" ht="13.5" hidden="false" customHeight="true" outlineLevel="0" collapsed="false">
      <c r="A29" s="109" t="s">
        <v>699</v>
      </c>
      <c r="B29" s="109" t="s">
        <v>690</v>
      </c>
      <c r="C29" s="223" t="n">
        <v>170000</v>
      </c>
      <c r="D29" s="223" t="n">
        <f aca="false">C29/12</f>
        <v>14166.6666666667</v>
      </c>
      <c r="E29" s="192" t="n">
        <v>4</v>
      </c>
      <c r="F29" s="109" t="s">
        <v>664</v>
      </c>
      <c r="G29" s="192" t="s">
        <v>612</v>
      </c>
      <c r="H29" s="224" t="n">
        <v>0</v>
      </c>
      <c r="I29" s="224" t="n">
        <v>0</v>
      </c>
      <c r="J29" s="109" t="s">
        <v>679</v>
      </c>
      <c r="K29" s="192"/>
      <c r="L29" s="109" t="s">
        <v>666</v>
      </c>
      <c r="M29" s="109"/>
      <c r="N29" s="109"/>
      <c r="O29" s="109" t="s">
        <v>664</v>
      </c>
      <c r="P29" s="109" t="s">
        <v>691</v>
      </c>
      <c r="Q29" s="1" t="s">
        <v>612</v>
      </c>
    </row>
    <row r="30" customFormat="false" ht="13.5" hidden="false" customHeight="true" outlineLevel="0" collapsed="false">
      <c r="A30" s="225" t="s">
        <v>700</v>
      </c>
      <c r="B30" s="225" t="s">
        <v>690</v>
      </c>
      <c r="C30" s="226" t="n">
        <v>130000</v>
      </c>
      <c r="D30" s="226" t="n">
        <f aca="false">C30/12</f>
        <v>10833.3333333333</v>
      </c>
      <c r="E30" s="227" t="n">
        <v>5</v>
      </c>
      <c r="F30" s="225" t="s">
        <v>664</v>
      </c>
      <c r="G30" s="227" t="s">
        <v>612</v>
      </c>
      <c r="H30" s="228" t="n">
        <v>0</v>
      </c>
      <c r="I30" s="228" t="n">
        <v>0</v>
      </c>
      <c r="J30" s="225" t="s">
        <v>679</v>
      </c>
      <c r="K30" s="227"/>
      <c r="L30" s="225" t="s">
        <v>666</v>
      </c>
      <c r="M30" s="225"/>
      <c r="N30" s="225"/>
      <c r="O30" s="225" t="s">
        <v>664</v>
      </c>
      <c r="P30" s="225" t="s">
        <v>691</v>
      </c>
      <c r="Q30" s="1" t="s">
        <v>612</v>
      </c>
    </row>
    <row r="31" customFormat="false" ht="13.5" hidden="false" customHeight="true" outlineLevel="0" collapsed="false">
      <c r="A31" s="109" t="s">
        <v>701</v>
      </c>
      <c r="B31" s="109" t="s">
        <v>690</v>
      </c>
      <c r="C31" s="223" t="n">
        <v>160000</v>
      </c>
      <c r="D31" s="223" t="n">
        <f aca="false">C31/12</f>
        <v>13333.3333333333</v>
      </c>
      <c r="E31" s="192" t="n">
        <v>6</v>
      </c>
      <c r="F31" s="109" t="s">
        <v>664</v>
      </c>
      <c r="G31" s="192" t="s">
        <v>612</v>
      </c>
      <c r="H31" s="224" t="n">
        <v>0</v>
      </c>
      <c r="I31" s="224" t="n">
        <v>0</v>
      </c>
      <c r="J31" s="109" t="s">
        <v>679</v>
      </c>
      <c r="K31" s="192"/>
      <c r="L31" s="109" t="s">
        <v>666</v>
      </c>
      <c r="M31" s="109" t="s">
        <v>15</v>
      </c>
      <c r="N31" s="109" t="s">
        <v>702</v>
      </c>
      <c r="O31" s="109" t="s">
        <v>664</v>
      </c>
      <c r="P31" s="109" t="s">
        <v>691</v>
      </c>
      <c r="Q31" s="1" t="s">
        <v>611</v>
      </c>
    </row>
    <row r="32" customFormat="false" ht="13.5" hidden="false" customHeight="true" outlineLevel="0" collapsed="false">
      <c r="A32" s="225" t="s">
        <v>703</v>
      </c>
      <c r="B32" s="225" t="s">
        <v>704</v>
      </c>
      <c r="C32" s="226" t="n">
        <v>75000</v>
      </c>
      <c r="D32" s="226" t="n">
        <f aca="false">C32/12</f>
        <v>6250</v>
      </c>
      <c r="E32" s="227" t="n">
        <v>1</v>
      </c>
      <c r="F32" s="225" t="s">
        <v>664</v>
      </c>
      <c r="G32" s="227" t="s">
        <v>612</v>
      </c>
      <c r="H32" s="228" t="n">
        <v>0</v>
      </c>
      <c r="I32" s="228" t="n">
        <v>0</v>
      </c>
      <c r="J32" s="225" t="s">
        <v>679</v>
      </c>
      <c r="K32" s="227"/>
      <c r="L32" s="225" t="s">
        <v>666</v>
      </c>
      <c r="M32" s="225"/>
      <c r="N32" s="225"/>
      <c r="O32" s="225" t="s">
        <v>664</v>
      </c>
      <c r="P32" s="225" t="s">
        <v>686</v>
      </c>
      <c r="Q32" s="1" t="s">
        <v>612</v>
      </c>
    </row>
    <row r="33" customFormat="false" ht="13.5" hidden="false" customHeight="true" outlineLevel="0" collapsed="false">
      <c r="A33" s="109" t="s">
        <v>705</v>
      </c>
      <c r="B33" s="109" t="s">
        <v>685</v>
      </c>
      <c r="C33" s="223" t="n">
        <v>105000</v>
      </c>
      <c r="D33" s="223" t="n">
        <f aca="false">C33/12</f>
        <v>8750</v>
      </c>
      <c r="E33" s="192" t="n">
        <v>3</v>
      </c>
      <c r="F33" s="109" t="s">
        <v>664</v>
      </c>
      <c r="G33" s="192" t="s">
        <v>612</v>
      </c>
      <c r="H33" s="224" t="n">
        <v>0</v>
      </c>
      <c r="I33" s="224" t="n">
        <v>0</v>
      </c>
      <c r="J33" s="109" t="s">
        <v>679</v>
      </c>
      <c r="K33" s="192"/>
      <c r="L33" s="109" t="s">
        <v>666</v>
      </c>
      <c r="M33" s="109"/>
      <c r="N33" s="109"/>
      <c r="O33" s="109" t="s">
        <v>664</v>
      </c>
      <c r="P33" s="109" t="s">
        <v>686</v>
      </c>
      <c r="Q33" s="1" t="s">
        <v>612</v>
      </c>
    </row>
    <row r="34" customFormat="false" ht="13.5" hidden="false" customHeight="true" outlineLevel="0" collapsed="false">
      <c r="A34" s="225" t="s">
        <v>706</v>
      </c>
      <c r="B34" s="225" t="s">
        <v>707</v>
      </c>
      <c r="C34" s="226" t="n">
        <v>62400</v>
      </c>
      <c r="D34" s="226" t="n">
        <f aca="false">C34/12</f>
        <v>5200</v>
      </c>
      <c r="E34" s="227" t="n">
        <v>1</v>
      </c>
      <c r="F34" s="225" t="s">
        <v>664</v>
      </c>
      <c r="G34" s="227" t="s">
        <v>612</v>
      </c>
      <c r="H34" s="228" t="n">
        <v>0</v>
      </c>
      <c r="I34" s="228" t="n">
        <v>0</v>
      </c>
      <c r="J34" s="225" t="s">
        <v>679</v>
      </c>
      <c r="K34" s="227"/>
      <c r="L34" s="225" t="s">
        <v>666</v>
      </c>
      <c r="M34" s="225"/>
      <c r="N34" s="225"/>
      <c r="O34" s="225" t="s">
        <v>664</v>
      </c>
      <c r="P34" s="225" t="s">
        <v>708</v>
      </c>
      <c r="Q34" s="1" t="s">
        <v>612</v>
      </c>
    </row>
    <row r="35" customFormat="false" ht="13.5" hidden="false" customHeight="true" outlineLevel="0" collapsed="false">
      <c r="A35" s="109" t="s">
        <v>709</v>
      </c>
      <c r="B35" s="109" t="s">
        <v>710</v>
      </c>
      <c r="C35" s="223" t="n">
        <v>115000</v>
      </c>
      <c r="D35" s="223" t="n">
        <f aca="false">C35/12</f>
        <v>9583.33333333333</v>
      </c>
      <c r="E35" s="192" t="n">
        <v>1</v>
      </c>
      <c r="F35" s="109" t="s">
        <v>664</v>
      </c>
      <c r="G35" s="192" t="s">
        <v>612</v>
      </c>
      <c r="H35" s="224" t="n">
        <v>0</v>
      </c>
      <c r="I35" s="224" t="n">
        <v>0</v>
      </c>
      <c r="J35" s="109" t="s">
        <v>679</v>
      </c>
      <c r="K35" s="192"/>
      <c r="L35" s="109" t="s">
        <v>666</v>
      </c>
      <c r="M35" s="109"/>
      <c r="N35" s="109"/>
      <c r="O35" s="109" t="s">
        <v>664</v>
      </c>
      <c r="P35" s="109" t="s">
        <v>711</v>
      </c>
      <c r="Q35" s="1" t="s">
        <v>612</v>
      </c>
    </row>
    <row r="36" customFormat="false" ht="13.5" hidden="false" customHeight="true" outlineLevel="0" collapsed="false">
      <c r="A36" s="225" t="s">
        <v>712</v>
      </c>
      <c r="B36" s="225" t="s">
        <v>713</v>
      </c>
      <c r="C36" s="226" t="n">
        <v>69992</v>
      </c>
      <c r="D36" s="226" t="n">
        <f aca="false">C36/12</f>
        <v>5832.66666666667</v>
      </c>
      <c r="E36" s="227" t="n">
        <v>1</v>
      </c>
      <c r="F36" s="225" t="s">
        <v>664</v>
      </c>
      <c r="G36" s="227" t="s">
        <v>612</v>
      </c>
      <c r="H36" s="228" t="n">
        <v>0</v>
      </c>
      <c r="I36" s="228" t="n">
        <v>0</v>
      </c>
      <c r="J36" s="225" t="s">
        <v>679</v>
      </c>
      <c r="K36" s="227"/>
      <c r="L36" s="225" t="s">
        <v>666</v>
      </c>
      <c r="M36" s="225"/>
      <c r="N36" s="225"/>
      <c r="O36" s="225" t="s">
        <v>664</v>
      </c>
      <c r="P36" s="225" t="s">
        <v>714</v>
      </c>
      <c r="Q36" s="1" t="s">
        <v>612</v>
      </c>
    </row>
    <row r="37" customFormat="false" ht="13.5" hidden="false" customHeight="true" outlineLevel="0" collapsed="false">
      <c r="A37" s="109" t="s">
        <v>715</v>
      </c>
      <c r="B37" s="109" t="s">
        <v>713</v>
      </c>
      <c r="C37" s="223" t="n">
        <v>52000</v>
      </c>
      <c r="D37" s="223" t="n">
        <f aca="false">C37/12</f>
        <v>4333.33333333333</v>
      </c>
      <c r="E37" s="192" t="n">
        <v>1</v>
      </c>
      <c r="F37" s="109" t="s">
        <v>664</v>
      </c>
      <c r="G37" s="192" t="s">
        <v>612</v>
      </c>
      <c r="H37" s="224" t="n">
        <v>0</v>
      </c>
      <c r="I37" s="224" t="n">
        <v>0</v>
      </c>
      <c r="J37" s="109" t="s">
        <v>679</v>
      </c>
      <c r="K37" s="192"/>
      <c r="L37" s="109" t="s">
        <v>666</v>
      </c>
      <c r="M37" s="109"/>
      <c r="N37" s="109"/>
      <c r="O37" s="109" t="s">
        <v>664</v>
      </c>
      <c r="P37" s="109" t="s">
        <v>714</v>
      </c>
      <c r="Q37" s="1" t="s">
        <v>612</v>
      </c>
    </row>
    <row r="38" customFormat="false" ht="13.5" hidden="false" customHeight="true" outlineLevel="0" collapsed="false">
      <c r="A38" s="225" t="s">
        <v>716</v>
      </c>
      <c r="B38" s="225" t="s">
        <v>717</v>
      </c>
      <c r="C38" s="226" t="n">
        <v>43680</v>
      </c>
      <c r="D38" s="226" t="n">
        <f aca="false">C38/12</f>
        <v>3640</v>
      </c>
      <c r="E38" s="227" t="n">
        <v>1</v>
      </c>
      <c r="F38" s="225" t="s">
        <v>664</v>
      </c>
      <c r="G38" s="227" t="s">
        <v>612</v>
      </c>
      <c r="H38" s="228" t="n">
        <v>0</v>
      </c>
      <c r="I38" s="228" t="n">
        <v>0</v>
      </c>
      <c r="J38" s="225" t="s">
        <v>679</v>
      </c>
      <c r="K38" s="227"/>
      <c r="L38" s="225" t="s">
        <v>666</v>
      </c>
      <c r="M38" s="225"/>
      <c r="N38" s="225"/>
      <c r="O38" s="225" t="s">
        <v>664</v>
      </c>
      <c r="P38" s="225" t="s">
        <v>714</v>
      </c>
      <c r="Q38" s="1" t="s">
        <v>612</v>
      </c>
    </row>
    <row r="40" customFormat="false" ht="13.5" hidden="false" customHeight="true" outlineLevel="0" collapsed="false">
      <c r="A40" s="221" t="s">
        <v>718</v>
      </c>
      <c r="B40" s="222"/>
      <c r="C40" s="222"/>
      <c r="D40" s="222"/>
      <c r="E40" s="222"/>
      <c r="F40" s="222"/>
      <c r="G40" s="222"/>
      <c r="H40" s="222"/>
      <c r="I40" s="222"/>
      <c r="J40" s="222"/>
      <c r="K40" s="222"/>
      <c r="L40" s="222"/>
      <c r="M40" s="222"/>
      <c r="N40" s="222"/>
      <c r="O40" s="222"/>
      <c r="P40" s="222"/>
    </row>
    <row r="41" customFormat="false" ht="13.5" hidden="false" customHeight="true" outlineLevel="0" collapsed="false">
      <c r="A41" s="109" t="s">
        <v>719</v>
      </c>
      <c r="B41" s="109" t="s">
        <v>693</v>
      </c>
      <c r="C41" s="223" t="n">
        <v>100000</v>
      </c>
      <c r="D41" s="223" t="n">
        <f aca="false">C41/12</f>
        <v>8333.33333333333</v>
      </c>
      <c r="E41" s="192" t="n">
        <v>7</v>
      </c>
      <c r="F41" s="109" t="s">
        <v>664</v>
      </c>
      <c r="G41" s="192" t="s">
        <v>612</v>
      </c>
      <c r="H41" s="224" t="n">
        <v>0</v>
      </c>
      <c r="I41" s="224" t="n">
        <v>0</v>
      </c>
      <c r="J41" s="109" t="s">
        <v>679</v>
      </c>
      <c r="K41" s="192"/>
      <c r="L41" s="109" t="s">
        <v>666</v>
      </c>
      <c r="M41" s="109"/>
      <c r="N41" s="109" t="s">
        <v>720</v>
      </c>
      <c r="O41" s="109" t="s">
        <v>664</v>
      </c>
      <c r="P41" s="109" t="s">
        <v>694</v>
      </c>
      <c r="Q41" s="1" t="s">
        <v>612</v>
      </c>
    </row>
    <row r="43" customFormat="false" ht="13.5" hidden="false" customHeight="true" outlineLevel="0" collapsed="false">
      <c r="A43" s="221" t="s">
        <v>721</v>
      </c>
      <c r="B43" s="222"/>
      <c r="C43" s="222"/>
      <c r="D43" s="222"/>
      <c r="E43" s="222"/>
      <c r="F43" s="222"/>
      <c r="G43" s="222"/>
      <c r="H43" s="222"/>
      <c r="I43" s="222"/>
      <c r="J43" s="222"/>
      <c r="K43" s="222"/>
      <c r="L43" s="222"/>
      <c r="M43" s="222"/>
      <c r="N43" s="222"/>
      <c r="O43" s="222"/>
      <c r="P43" s="222"/>
    </row>
    <row r="44" customFormat="false" ht="13.5" hidden="false" customHeight="true" outlineLevel="0" collapsed="false">
      <c r="A44" s="109" t="s">
        <v>722</v>
      </c>
      <c r="B44" s="109" t="s">
        <v>723</v>
      </c>
      <c r="C44" s="223" t="n">
        <v>400000</v>
      </c>
      <c r="D44" s="223" t="n">
        <f aca="false">C44/12</f>
        <v>33333.3333333333</v>
      </c>
      <c r="E44" s="192" t="n">
        <v>1</v>
      </c>
      <c r="F44" s="109" t="s">
        <v>724</v>
      </c>
      <c r="G44" s="192" t="s">
        <v>612</v>
      </c>
      <c r="H44" s="224" t="n">
        <v>1</v>
      </c>
      <c r="I44" s="224" t="n">
        <v>0</v>
      </c>
      <c r="J44" s="109" t="s">
        <v>725</v>
      </c>
      <c r="K44" s="192"/>
      <c r="L44" s="109" t="s">
        <v>666</v>
      </c>
      <c r="M44" s="109"/>
      <c r="N44" s="109"/>
      <c r="O44" s="109" t="s">
        <v>726</v>
      </c>
      <c r="P44" s="109" t="s">
        <v>725</v>
      </c>
      <c r="Q44" s="1" t="s">
        <v>612</v>
      </c>
    </row>
    <row r="45" customFormat="false" ht="13.5" hidden="false" customHeight="true" outlineLevel="0" collapsed="false">
      <c r="A45" s="225" t="s">
        <v>727</v>
      </c>
      <c r="B45" s="225" t="s">
        <v>723</v>
      </c>
      <c r="C45" s="226" t="n">
        <v>400000</v>
      </c>
      <c r="D45" s="226" t="n">
        <f aca="false">C45/12</f>
        <v>33333.3333333333</v>
      </c>
      <c r="E45" s="227" t="n">
        <v>1</v>
      </c>
      <c r="F45" s="225" t="s">
        <v>724</v>
      </c>
      <c r="G45" s="227" t="s">
        <v>612</v>
      </c>
      <c r="H45" s="228" t="n">
        <v>1</v>
      </c>
      <c r="I45" s="228" t="n">
        <v>0</v>
      </c>
      <c r="J45" s="225" t="s">
        <v>725</v>
      </c>
      <c r="K45" s="227"/>
      <c r="L45" s="225" t="s">
        <v>666</v>
      </c>
      <c r="M45" s="225"/>
      <c r="N45" s="225"/>
      <c r="O45" s="225" t="s">
        <v>726</v>
      </c>
      <c r="P45" s="225" t="s">
        <v>725</v>
      </c>
      <c r="Q45" s="1" t="s">
        <v>612</v>
      </c>
    </row>
    <row r="46" customFormat="false" ht="13.5" hidden="false" customHeight="true" outlineLevel="0" collapsed="false">
      <c r="A46" s="109" t="s">
        <v>728</v>
      </c>
      <c r="B46" s="109" t="s">
        <v>729</v>
      </c>
      <c r="C46" s="223" t="n">
        <v>222000</v>
      </c>
      <c r="D46" s="223" t="n">
        <f aca="false">C46/12</f>
        <v>18500</v>
      </c>
      <c r="E46" s="192" t="n">
        <v>1</v>
      </c>
      <c r="F46" s="109" t="s">
        <v>724</v>
      </c>
      <c r="G46" s="192" t="s">
        <v>612</v>
      </c>
      <c r="H46" s="224" t="n">
        <v>1</v>
      </c>
      <c r="I46" s="224" t="n">
        <v>0</v>
      </c>
      <c r="J46" s="109" t="s">
        <v>725</v>
      </c>
      <c r="K46" s="192"/>
      <c r="L46" s="109" t="s">
        <v>666</v>
      </c>
      <c r="M46" s="109"/>
      <c r="N46" s="109"/>
      <c r="O46" s="109" t="s">
        <v>730</v>
      </c>
      <c r="P46" s="109" t="s">
        <v>725</v>
      </c>
      <c r="Q46" s="1" t="s">
        <v>612</v>
      </c>
    </row>
    <row r="47" customFormat="false" ht="13.5" hidden="false" customHeight="true" outlineLevel="0" collapsed="false">
      <c r="A47" s="225" t="s">
        <v>731</v>
      </c>
      <c r="B47" s="225" t="s">
        <v>732</v>
      </c>
      <c r="C47" s="226" t="n">
        <v>115000</v>
      </c>
      <c r="D47" s="226" t="n">
        <f aca="false">C47/12</f>
        <v>9583.33333333333</v>
      </c>
      <c r="E47" s="227" t="n">
        <v>1</v>
      </c>
      <c r="F47" s="225" t="s">
        <v>724</v>
      </c>
      <c r="G47" s="227" t="s">
        <v>612</v>
      </c>
      <c r="H47" s="228" t="n">
        <v>1</v>
      </c>
      <c r="I47" s="228" t="n">
        <v>0</v>
      </c>
      <c r="J47" s="225" t="s">
        <v>725</v>
      </c>
      <c r="K47" s="227"/>
      <c r="L47" s="225" t="s">
        <v>666</v>
      </c>
      <c r="M47" s="225"/>
      <c r="N47" s="225"/>
      <c r="O47" s="225" t="s">
        <v>730</v>
      </c>
      <c r="P47" s="225" t="s">
        <v>725</v>
      </c>
      <c r="Q47" s="1" t="s">
        <v>612</v>
      </c>
    </row>
    <row r="48" customFormat="false" ht="13.5" hidden="false" customHeight="true" outlineLevel="0" collapsed="false">
      <c r="A48" s="109" t="s">
        <v>733</v>
      </c>
      <c r="B48" s="109" t="s">
        <v>734</v>
      </c>
      <c r="C48" s="223" t="n">
        <v>250000</v>
      </c>
      <c r="D48" s="223" t="n">
        <f aca="false">C48/12</f>
        <v>20833.3333333333</v>
      </c>
      <c r="E48" s="192" t="n">
        <v>1</v>
      </c>
      <c r="F48" s="109" t="s">
        <v>724</v>
      </c>
      <c r="G48" s="192" t="s">
        <v>612</v>
      </c>
      <c r="H48" s="224" t="n">
        <v>0</v>
      </c>
      <c r="I48" s="224" t="n">
        <v>0</v>
      </c>
      <c r="J48" s="109" t="s">
        <v>725</v>
      </c>
      <c r="K48" s="192"/>
      <c r="L48" s="109" t="s">
        <v>666</v>
      </c>
      <c r="M48" s="109"/>
      <c r="N48" s="109"/>
      <c r="O48" s="109" t="s">
        <v>735</v>
      </c>
      <c r="P48" s="109" t="s">
        <v>725</v>
      </c>
      <c r="Q48" s="1" t="s">
        <v>612</v>
      </c>
    </row>
    <row r="49" customFormat="false" ht="13.5" hidden="false" customHeight="true" outlineLevel="0" collapsed="false">
      <c r="A49" s="225" t="s">
        <v>736</v>
      </c>
      <c r="B49" s="225" t="s">
        <v>737</v>
      </c>
      <c r="C49" s="226" t="n">
        <v>150000</v>
      </c>
      <c r="D49" s="226" t="n">
        <f aca="false">C49/12</f>
        <v>12500</v>
      </c>
      <c r="E49" s="227" t="n">
        <v>1</v>
      </c>
      <c r="F49" s="225" t="s">
        <v>724</v>
      </c>
      <c r="G49" s="227" t="s">
        <v>612</v>
      </c>
      <c r="H49" s="228" t="n">
        <v>0</v>
      </c>
      <c r="I49" s="228" t="n">
        <v>0</v>
      </c>
      <c r="J49" s="225" t="s">
        <v>725</v>
      </c>
      <c r="K49" s="227"/>
      <c r="L49" s="225" t="s">
        <v>666</v>
      </c>
      <c r="M49" s="225"/>
      <c r="N49" s="225"/>
      <c r="O49" s="225" t="s">
        <v>735</v>
      </c>
      <c r="P49" s="225" t="s">
        <v>725</v>
      </c>
      <c r="Q49" s="1" t="s">
        <v>612</v>
      </c>
    </row>
    <row r="50" customFormat="false" ht="13.5" hidden="false" customHeight="true" outlineLevel="0" collapsed="false">
      <c r="A50" s="109" t="s">
        <v>738</v>
      </c>
      <c r="B50" s="109" t="s">
        <v>739</v>
      </c>
      <c r="C50" s="223" t="n">
        <v>250000</v>
      </c>
      <c r="D50" s="223" t="n">
        <f aca="false">C50/12</f>
        <v>20833.3333333333</v>
      </c>
      <c r="E50" s="192" t="n">
        <v>1</v>
      </c>
      <c r="F50" s="109" t="s">
        <v>724</v>
      </c>
      <c r="G50" s="192" t="s">
        <v>612</v>
      </c>
      <c r="H50" s="224" t="n">
        <v>0</v>
      </c>
      <c r="I50" s="224" t="n">
        <v>0</v>
      </c>
      <c r="J50" s="109" t="s">
        <v>725</v>
      </c>
      <c r="K50" s="192"/>
      <c r="L50" s="109" t="s">
        <v>666</v>
      </c>
      <c r="M50" s="109"/>
      <c r="N50" s="109"/>
      <c r="O50" s="109" t="s">
        <v>735</v>
      </c>
      <c r="P50" s="109" t="s">
        <v>725</v>
      </c>
      <c r="Q50" s="1" t="s">
        <v>612</v>
      </c>
    </row>
    <row r="52" customFormat="false" ht="13.5" hidden="false" customHeight="true" outlineLevel="0" collapsed="false">
      <c r="A52" s="221" t="s">
        <v>740</v>
      </c>
      <c r="B52" s="222"/>
      <c r="C52" s="222"/>
      <c r="D52" s="222"/>
      <c r="E52" s="222"/>
      <c r="F52" s="222"/>
      <c r="G52" s="222"/>
      <c r="H52" s="222"/>
      <c r="I52" s="222"/>
      <c r="J52" s="222"/>
      <c r="K52" s="222"/>
      <c r="L52" s="222"/>
      <c r="M52" s="222"/>
      <c r="N52" s="222"/>
      <c r="O52" s="222"/>
      <c r="P52" s="222"/>
    </row>
    <row r="53" customFormat="false" ht="13.5" hidden="false" customHeight="true" outlineLevel="0" collapsed="false">
      <c r="A53" s="109" t="s">
        <v>741</v>
      </c>
      <c r="B53" s="109" t="s">
        <v>742</v>
      </c>
      <c r="C53" s="223" t="n">
        <v>125000</v>
      </c>
      <c r="D53" s="223" t="n">
        <f aca="false">C53/12</f>
        <v>10416.6666666667</v>
      </c>
      <c r="E53" s="192" t="n">
        <v>2</v>
      </c>
      <c r="F53" s="109" t="s">
        <v>664</v>
      </c>
      <c r="G53" s="192" t="s">
        <v>612</v>
      </c>
      <c r="H53" s="224" t="n">
        <v>0</v>
      </c>
      <c r="I53" s="224" t="n">
        <v>0</v>
      </c>
      <c r="J53" s="109" t="s">
        <v>679</v>
      </c>
      <c r="K53" s="192" t="n">
        <v>4</v>
      </c>
      <c r="L53" s="109" t="s">
        <v>743</v>
      </c>
      <c r="M53" s="109"/>
      <c r="N53" s="109" t="s">
        <v>744</v>
      </c>
      <c r="O53" s="109" t="s">
        <v>664</v>
      </c>
      <c r="P53" s="109" t="s">
        <v>711</v>
      </c>
      <c r="Q53" s="1" t="s">
        <v>612</v>
      </c>
    </row>
    <row r="54" customFormat="false" ht="13.5" hidden="false" customHeight="true" outlineLevel="0" collapsed="false">
      <c r="A54" s="225" t="s">
        <v>745</v>
      </c>
      <c r="B54" s="225" t="s">
        <v>746</v>
      </c>
      <c r="C54" s="226" t="n">
        <v>110000</v>
      </c>
      <c r="D54" s="226" t="n">
        <f aca="false">C54/12</f>
        <v>9166.66666666667</v>
      </c>
      <c r="E54" s="227" t="n">
        <v>1</v>
      </c>
      <c r="F54" s="225" t="s">
        <v>664</v>
      </c>
      <c r="G54" s="227" t="s">
        <v>612</v>
      </c>
      <c r="H54" s="228" t="n">
        <v>0</v>
      </c>
      <c r="I54" s="228" t="n">
        <v>0</v>
      </c>
      <c r="J54" s="225" t="s">
        <v>679</v>
      </c>
      <c r="K54" s="227" t="n">
        <v>4</v>
      </c>
      <c r="L54" s="225" t="s">
        <v>743</v>
      </c>
      <c r="M54" s="225"/>
      <c r="N54" s="225" t="s">
        <v>744</v>
      </c>
      <c r="O54" s="225" t="s">
        <v>664</v>
      </c>
      <c r="P54" s="225" t="s">
        <v>691</v>
      </c>
      <c r="Q54" s="1" t="s">
        <v>612</v>
      </c>
    </row>
    <row r="56" customFormat="false" ht="13.5" hidden="false" customHeight="true" outlineLevel="0" collapsed="false">
      <c r="A56" s="221" t="s">
        <v>747</v>
      </c>
      <c r="B56" s="222"/>
      <c r="C56" s="222"/>
      <c r="D56" s="222"/>
      <c r="E56" s="222"/>
      <c r="F56" s="222"/>
      <c r="G56" s="222"/>
      <c r="H56" s="222"/>
      <c r="I56" s="222"/>
      <c r="J56" s="222"/>
      <c r="K56" s="222"/>
      <c r="L56" s="222"/>
      <c r="M56" s="222"/>
      <c r="N56" s="222"/>
      <c r="O56" s="222"/>
      <c r="P56" s="222"/>
    </row>
    <row r="57" customFormat="false" ht="13.5" hidden="false" customHeight="true" outlineLevel="0" collapsed="false">
      <c r="A57" s="225" t="s">
        <v>748</v>
      </c>
      <c r="B57" s="225" t="s">
        <v>685</v>
      </c>
      <c r="C57" s="226" t="n">
        <v>120000</v>
      </c>
      <c r="D57" s="226" t="n">
        <f aca="false">C57/12</f>
        <v>10000</v>
      </c>
      <c r="E57" s="227" t="n">
        <v>5</v>
      </c>
      <c r="F57" s="225" t="s">
        <v>664</v>
      </c>
      <c r="G57" s="227" t="s">
        <v>612</v>
      </c>
      <c r="H57" s="228" t="n">
        <v>0</v>
      </c>
      <c r="I57" s="228" t="n">
        <v>0</v>
      </c>
      <c r="J57" s="225" t="s">
        <v>679</v>
      </c>
      <c r="K57" s="227"/>
      <c r="L57" s="225" t="s">
        <v>666</v>
      </c>
      <c r="M57" s="225"/>
      <c r="N57" s="225" t="s">
        <v>749</v>
      </c>
      <c r="O57" s="225" t="s">
        <v>664</v>
      </c>
      <c r="P57" s="225" t="s">
        <v>686</v>
      </c>
      <c r="Q57" s="1" t="s">
        <v>611</v>
      </c>
    </row>
    <row r="58" customFormat="false" ht="13.5" hidden="false" customHeight="true" outlineLevel="0" collapsed="false">
      <c r="A58" s="225" t="s">
        <v>750</v>
      </c>
      <c r="B58" s="225" t="s">
        <v>710</v>
      </c>
      <c r="C58" s="226" t="n">
        <v>125000</v>
      </c>
      <c r="D58" s="226" t="n">
        <f aca="false">C58/12</f>
        <v>10416.6666666667</v>
      </c>
      <c r="E58" s="227" t="n">
        <v>6</v>
      </c>
      <c r="F58" s="225" t="s">
        <v>664</v>
      </c>
      <c r="G58" s="227" t="s">
        <v>612</v>
      </c>
      <c r="H58" s="228" t="n">
        <v>0</v>
      </c>
      <c r="I58" s="228" t="n">
        <v>0</v>
      </c>
      <c r="J58" s="225" t="s">
        <v>679</v>
      </c>
      <c r="K58" s="227"/>
      <c r="L58" s="225" t="s">
        <v>666</v>
      </c>
      <c r="M58" s="225"/>
      <c r="N58" s="225" t="s">
        <v>749</v>
      </c>
      <c r="O58" s="225" t="s">
        <v>664</v>
      </c>
      <c r="P58" s="225" t="s">
        <v>711</v>
      </c>
      <c r="Q58" s="1" t="s">
        <v>611</v>
      </c>
    </row>
    <row r="59" customFormat="false" ht="13.5" hidden="false" customHeight="true" outlineLevel="0" collapsed="false">
      <c r="A59" s="109"/>
      <c r="B59" s="109"/>
      <c r="C59" s="223"/>
      <c r="D59" s="223"/>
      <c r="E59" s="192"/>
      <c r="F59" s="109"/>
      <c r="G59" s="192"/>
      <c r="H59" s="224"/>
      <c r="I59" s="224"/>
      <c r="J59" s="109"/>
      <c r="K59" s="192"/>
      <c r="L59" s="109"/>
      <c r="M59" s="109"/>
      <c r="N59" s="109"/>
      <c r="O59" s="109"/>
      <c r="P59" s="109"/>
    </row>
    <row r="60" customFormat="false" ht="13.5" hidden="false" customHeight="true" outlineLevel="0" collapsed="false">
      <c r="A60" s="221" t="s">
        <v>751</v>
      </c>
      <c r="B60" s="225"/>
      <c r="C60" s="226"/>
      <c r="D60" s="226"/>
      <c r="E60" s="227"/>
      <c r="F60" s="225"/>
      <c r="G60" s="227"/>
      <c r="H60" s="228"/>
      <c r="I60" s="228"/>
      <c r="J60" s="225"/>
      <c r="K60" s="227"/>
      <c r="L60" s="225"/>
      <c r="M60" s="225"/>
      <c r="N60" s="225"/>
      <c r="O60" s="225"/>
      <c r="P60" s="225"/>
    </row>
    <row r="61" customFormat="false" ht="13.5" hidden="false" customHeight="true" outlineLevel="0" collapsed="false">
      <c r="A61" s="225" t="s">
        <v>752</v>
      </c>
      <c r="B61" s="225" t="s">
        <v>737</v>
      </c>
      <c r="C61" s="226" t="n">
        <v>7500</v>
      </c>
      <c r="D61" s="226" t="n">
        <f aca="false">C61/12</f>
        <v>625</v>
      </c>
      <c r="E61" s="227" t="n">
        <v>10</v>
      </c>
      <c r="F61" s="225" t="s">
        <v>724</v>
      </c>
      <c r="G61" s="227" t="s">
        <v>612</v>
      </c>
      <c r="H61" s="228" t="n">
        <v>0</v>
      </c>
      <c r="I61" s="228" t="n">
        <v>0</v>
      </c>
      <c r="J61" s="225" t="s">
        <v>725</v>
      </c>
      <c r="K61" s="227"/>
      <c r="L61" s="225" t="s">
        <v>666</v>
      </c>
      <c r="M61" s="225"/>
      <c r="N61" s="225" t="s">
        <v>753</v>
      </c>
      <c r="O61" s="225" t="s">
        <v>735</v>
      </c>
      <c r="P61" s="225" t="s">
        <v>725</v>
      </c>
      <c r="Q61" s="1" t="s">
        <v>611</v>
      </c>
    </row>
    <row r="62" customFormat="false" ht="13.5" hidden="false" customHeight="true" outlineLevel="0" collapsed="false">
      <c r="A62" s="225"/>
      <c r="B62" s="225"/>
      <c r="C62" s="226"/>
      <c r="D62" s="226"/>
      <c r="E62" s="227"/>
      <c r="F62" s="225"/>
      <c r="G62" s="227"/>
      <c r="H62" s="228"/>
      <c r="I62" s="228"/>
      <c r="J62" s="225"/>
      <c r="K62" s="227"/>
      <c r="L62" s="225"/>
      <c r="M62" s="225"/>
      <c r="N62" s="225"/>
      <c r="O62" s="225"/>
      <c r="P62" s="225"/>
    </row>
    <row r="63" customFormat="false" ht="13.5" hidden="false" customHeight="true" outlineLevel="0" collapsed="false">
      <c r="A63" s="109"/>
      <c r="B63" s="109"/>
      <c r="C63" s="223"/>
      <c r="D63" s="223"/>
      <c r="E63" s="192"/>
      <c r="F63" s="109"/>
      <c r="G63" s="192"/>
      <c r="H63" s="224"/>
      <c r="I63" s="224"/>
      <c r="J63" s="109"/>
      <c r="K63" s="192"/>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754</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755</v>
      </c>
      <c r="B4" s="3"/>
      <c r="C4" s="229" t="n">
        <f aca="false">Model!E246</f>
        <v>9375</v>
      </c>
      <c r="D4" s="229" t="n">
        <f aca="false">Model!F246</f>
        <v>9375</v>
      </c>
      <c r="E4" s="229" t="n">
        <f aca="false">Model!G246</f>
        <v>9375</v>
      </c>
      <c r="F4" s="229" t="n">
        <f aca="false">Model!H246</f>
        <v>9375</v>
      </c>
      <c r="G4" s="229" t="n">
        <f aca="false">Model!I246</f>
        <v>9375</v>
      </c>
      <c r="H4" s="229" t="n">
        <f aca="false">Model!J246</f>
        <v>9375</v>
      </c>
      <c r="I4" s="229" t="n">
        <f aca="false">Model!K246</f>
        <v>9375</v>
      </c>
      <c r="J4" s="229" t="n">
        <f aca="false">Model!L246</f>
        <v>0</v>
      </c>
      <c r="K4" s="229" t="n">
        <f aca="false">Model!M246</f>
        <v>0</v>
      </c>
      <c r="L4" s="229" t="n">
        <f aca="false">Model!N246</f>
        <v>0</v>
      </c>
      <c r="M4" s="229" t="n">
        <f aca="false">Model!O246</f>
        <v>0</v>
      </c>
      <c r="N4" s="229" t="n">
        <f aca="false">Model!P246</f>
        <v>0</v>
      </c>
      <c r="O4" s="229" t="n">
        <f aca="false">Model!Q246</f>
        <v>0</v>
      </c>
      <c r="P4" s="229" t="n">
        <f aca="false">Model!R246</f>
        <v>0</v>
      </c>
      <c r="Q4" s="229" t="n">
        <f aca="false">Model!S246</f>
        <v>0</v>
      </c>
      <c r="R4" s="229" t="n">
        <f aca="false">Model!T246</f>
        <v>0</v>
      </c>
      <c r="S4" s="229" t="n">
        <f aca="false">Model!U246</f>
        <v>0</v>
      </c>
      <c r="T4" s="229" t="n">
        <f aca="false">Model!V246</f>
        <v>0</v>
      </c>
      <c r="U4" s="229" t="n">
        <f aca="false">Model!W246</f>
        <v>0</v>
      </c>
      <c r="V4" s="229" t="n">
        <f aca="false">Model!X246</f>
        <v>0</v>
      </c>
      <c r="W4" s="229" t="n">
        <f aca="false">Model!Y246</f>
        <v>0</v>
      </c>
      <c r="X4" s="229" t="n">
        <f aca="false">Model!Z246</f>
        <v>0</v>
      </c>
      <c r="Y4" s="229" t="n">
        <f aca="false">Model!AA246</f>
        <v>0</v>
      </c>
      <c r="Z4" s="229" t="n">
        <f aca="false">Model!AB246</f>
        <v>0</v>
      </c>
      <c r="AA4" s="229" t="n">
        <f aca="false">Model!AC246</f>
        <v>0</v>
      </c>
      <c r="AB4" s="229" t="n">
        <f aca="false">Model!AD246</f>
        <v>0</v>
      </c>
      <c r="AC4" s="229" t="n">
        <f aca="false">Model!AE246</f>
        <v>0</v>
      </c>
      <c r="AD4" s="229" t="n">
        <f aca="false">Model!AF246</f>
        <v>0</v>
      </c>
      <c r="AE4" s="229" t="n">
        <f aca="false">Model!AG246</f>
        <v>0</v>
      </c>
      <c r="AF4" s="229" t="n">
        <f aca="false">Model!AH246</f>
        <v>0</v>
      </c>
      <c r="AG4" s="229" t="n">
        <f aca="false">Model!AI246</f>
        <v>0</v>
      </c>
      <c r="AH4" s="229" t="n">
        <f aca="false">Model!AJ246</f>
        <v>0</v>
      </c>
      <c r="AI4" s="229" t="n">
        <f aca="false">Model!AK246</f>
        <v>0</v>
      </c>
      <c r="AJ4" s="229" t="n">
        <f aca="false">Model!AL246</f>
        <v>0</v>
      </c>
      <c r="AK4" s="229" t="n">
        <f aca="false">Model!AM246</f>
        <v>0</v>
      </c>
      <c r="AL4" s="229" t="n">
        <f aca="false">Model!AN246</f>
        <v>0</v>
      </c>
      <c r="AM4" s="229" t="n">
        <f aca="false">Model!AO246</f>
        <v>0</v>
      </c>
      <c r="AN4" s="229" t="n">
        <f aca="false">Model!AP246</f>
        <v>0</v>
      </c>
      <c r="AO4" s="229" t="n">
        <f aca="false">Model!AQ246</f>
        <v>0</v>
      </c>
      <c r="AP4" s="229" t="n">
        <f aca="false">Model!AR246</f>
        <v>0</v>
      </c>
      <c r="AQ4" s="229" t="n">
        <f aca="false">Model!AS246</f>
        <v>0</v>
      </c>
      <c r="AR4" s="229" t="n">
        <f aca="false">Model!AT246</f>
        <v>0</v>
      </c>
      <c r="AS4" s="229" t="n">
        <f aca="false">Model!AU246</f>
        <v>0</v>
      </c>
      <c r="AT4" s="229" t="n">
        <f aca="false">Model!AV246</f>
        <v>0</v>
      </c>
      <c r="AU4" s="229" t="n">
        <f aca="false">Model!AW246</f>
        <v>0</v>
      </c>
      <c r="AV4" s="229" t="n">
        <f aca="false">Model!AX246</f>
        <v>0</v>
      </c>
      <c r="AW4" s="229" t="n">
        <f aca="false">Model!AY246</f>
        <v>0</v>
      </c>
      <c r="AX4" s="229" t="n">
        <f aca="false">Model!AZ246</f>
        <v>0</v>
      </c>
      <c r="AY4" s="229" t="n">
        <f aca="false">Model!BA246</f>
        <v>0</v>
      </c>
      <c r="AZ4" s="229" t="n">
        <f aca="false">Model!BB246</f>
        <v>0</v>
      </c>
      <c r="BA4" s="229" t="n">
        <f aca="false">Model!BC246</f>
        <v>0</v>
      </c>
      <c r="BB4" s="229" t="n">
        <f aca="false">Model!BD246</f>
        <v>0</v>
      </c>
      <c r="BC4" s="229" t="n">
        <f aca="false">Model!BE246</f>
        <v>0</v>
      </c>
      <c r="BD4" s="229" t="n">
        <f aca="false">Model!BF246</f>
        <v>0</v>
      </c>
      <c r="BE4" s="229" t="n">
        <f aca="false">Model!BG246</f>
        <v>0</v>
      </c>
      <c r="BF4" s="229" t="n">
        <f aca="false">Model!BH246</f>
        <v>0</v>
      </c>
      <c r="BG4" s="229" t="n">
        <f aca="false">Model!BI246</f>
        <v>0</v>
      </c>
      <c r="BH4" s="229" t="n">
        <f aca="false">Model!BJ246</f>
        <v>0</v>
      </c>
      <c r="BI4" s="229" t="n">
        <f aca="false">Model!BK246</f>
        <v>0</v>
      </c>
      <c r="BJ4" s="229" t="n">
        <f aca="false">Model!BL246</f>
        <v>0</v>
      </c>
      <c r="BK4" s="229" t="n">
        <f aca="false">Model!BM246</f>
        <v>0</v>
      </c>
      <c r="BL4" s="229" t="n">
        <f aca="false">Model!BN246</f>
        <v>0</v>
      </c>
      <c r="BM4" s="229" t="n">
        <f aca="false">Model!BO246</f>
        <v>0</v>
      </c>
      <c r="BN4" s="229" t="n">
        <f aca="false">Model!BP246</f>
        <v>0</v>
      </c>
      <c r="BO4" s="229" t="n">
        <f aca="false">Model!BQ246</f>
        <v>0</v>
      </c>
      <c r="BP4" s="229" t="n">
        <f aca="false">Model!BR246</f>
        <v>0</v>
      </c>
      <c r="BQ4" s="229" t="n">
        <f aca="false">Model!BS246</f>
        <v>0</v>
      </c>
      <c r="BR4" s="229" t="n">
        <f aca="false">Model!BT246</f>
        <v>0</v>
      </c>
      <c r="BS4" s="229" t="n">
        <f aca="false">Model!BU246</f>
        <v>0</v>
      </c>
      <c r="BT4" s="229" t="n">
        <f aca="false">Model!BV246</f>
        <v>0</v>
      </c>
      <c r="BU4" s="229" t="n">
        <f aca="false">Model!BW246</f>
        <v>0</v>
      </c>
      <c r="BV4" s="229" t="n">
        <f aca="false">Model!BX246</f>
        <v>0</v>
      </c>
      <c r="BW4" s="229" t="n">
        <f aca="false">Model!BY246</f>
        <v>0</v>
      </c>
      <c r="BX4" s="229" t="n">
        <f aca="false">Model!BZ246</f>
        <v>0</v>
      </c>
      <c r="BY4" s="229" t="n">
        <f aca="false">Model!CA246</f>
        <v>0</v>
      </c>
      <c r="BZ4" s="229" t="n">
        <f aca="false">Model!CB246</f>
        <v>0</v>
      </c>
      <c r="CA4" s="229" t="n">
        <f aca="false">Model!CC246</f>
        <v>0</v>
      </c>
      <c r="CB4" s="229" t="n">
        <f aca="false">Model!CD246</f>
        <v>0</v>
      </c>
      <c r="CC4" s="229" t="n">
        <f aca="false">Model!CE246</f>
        <v>0</v>
      </c>
      <c r="CD4" s="229" t="n">
        <f aca="false">Model!CF246</f>
        <v>0</v>
      </c>
      <c r="CE4" s="229" t="n">
        <f aca="false">Model!CG246</f>
        <v>0</v>
      </c>
      <c r="CF4" s="229" t="n">
        <f aca="false">Model!CH246</f>
        <v>0</v>
      </c>
      <c r="CG4" s="229" t="n">
        <f aca="false">Model!CI246</f>
        <v>0</v>
      </c>
      <c r="CH4" s="229" t="n">
        <f aca="false">Model!CJ246</f>
        <v>0</v>
      </c>
    </row>
    <row r="5" customFormat="false" ht="15" hidden="false" customHeight="true" outlineLevel="0" collapsed="false">
      <c r="A5" s="230" t="s">
        <v>756</v>
      </c>
      <c r="B5" s="230"/>
      <c r="C5" s="231" t="n">
        <f aca="false">C4</f>
        <v>9375</v>
      </c>
      <c r="D5" s="231" t="n">
        <f aca="false">D4</f>
        <v>9375</v>
      </c>
      <c r="E5" s="231" t="n">
        <f aca="false">E4</f>
        <v>9375</v>
      </c>
      <c r="F5" s="231" t="n">
        <f aca="false">F4</f>
        <v>9375</v>
      </c>
      <c r="G5" s="231" t="n">
        <f aca="false">G4</f>
        <v>9375</v>
      </c>
      <c r="H5" s="231" t="n">
        <f aca="false">H4</f>
        <v>9375</v>
      </c>
      <c r="I5" s="231" t="n">
        <f aca="false">I4</f>
        <v>9375</v>
      </c>
      <c r="J5" s="231" t="n">
        <f aca="false">J4</f>
        <v>0</v>
      </c>
      <c r="K5" s="231" t="n">
        <f aca="false">K4</f>
        <v>0</v>
      </c>
      <c r="L5" s="231" t="n">
        <f aca="false">L4</f>
        <v>0</v>
      </c>
      <c r="M5" s="231" t="n">
        <f aca="false">M4</f>
        <v>0</v>
      </c>
      <c r="N5" s="231" t="n">
        <f aca="false">N4</f>
        <v>0</v>
      </c>
      <c r="O5" s="231" t="n">
        <f aca="false">O4</f>
        <v>0</v>
      </c>
      <c r="P5" s="231" t="n">
        <f aca="false">P4</f>
        <v>0</v>
      </c>
      <c r="Q5" s="231" t="n">
        <f aca="false">Q4</f>
        <v>0</v>
      </c>
      <c r="R5" s="231" t="n">
        <f aca="false">R4</f>
        <v>0</v>
      </c>
      <c r="S5" s="231" t="n">
        <f aca="false">S4</f>
        <v>0</v>
      </c>
      <c r="T5" s="231" t="n">
        <f aca="false">T4</f>
        <v>0</v>
      </c>
      <c r="U5" s="231" t="n">
        <f aca="false">U4</f>
        <v>0</v>
      </c>
      <c r="V5" s="231" t="n">
        <f aca="false">V4</f>
        <v>0</v>
      </c>
      <c r="W5" s="231" t="n">
        <f aca="false">W4</f>
        <v>0</v>
      </c>
      <c r="X5" s="231" t="n">
        <f aca="false">X4</f>
        <v>0</v>
      </c>
      <c r="Y5" s="231" t="n">
        <f aca="false">Y4</f>
        <v>0</v>
      </c>
      <c r="Z5" s="231" t="n">
        <f aca="false">Z4</f>
        <v>0</v>
      </c>
      <c r="AA5" s="231" t="n">
        <f aca="false">AA4</f>
        <v>0</v>
      </c>
      <c r="AB5" s="231" t="n">
        <f aca="false">AB4</f>
        <v>0</v>
      </c>
      <c r="AC5" s="231" t="n">
        <f aca="false">AC4</f>
        <v>0</v>
      </c>
      <c r="AD5" s="231" t="n">
        <f aca="false">AD4</f>
        <v>0</v>
      </c>
      <c r="AE5" s="231" t="n">
        <f aca="false">AE4</f>
        <v>0</v>
      </c>
      <c r="AF5" s="231" t="n">
        <f aca="false">AF4</f>
        <v>0</v>
      </c>
      <c r="AG5" s="231" t="n">
        <f aca="false">AG4</f>
        <v>0</v>
      </c>
      <c r="AH5" s="231" t="n">
        <f aca="false">AH4</f>
        <v>0</v>
      </c>
      <c r="AI5" s="231" t="n">
        <f aca="false">AI4</f>
        <v>0</v>
      </c>
      <c r="AJ5" s="231" t="n">
        <f aca="false">AJ4</f>
        <v>0</v>
      </c>
      <c r="AK5" s="231" t="n">
        <f aca="false">AK4</f>
        <v>0</v>
      </c>
      <c r="AL5" s="231" t="n">
        <f aca="false">AL4</f>
        <v>0</v>
      </c>
      <c r="AM5" s="231" t="n">
        <f aca="false">AM4</f>
        <v>0</v>
      </c>
      <c r="AN5" s="231" t="n">
        <f aca="false">AN4</f>
        <v>0</v>
      </c>
      <c r="AO5" s="231" t="n">
        <f aca="false">AO4</f>
        <v>0</v>
      </c>
      <c r="AP5" s="231" t="n">
        <f aca="false">AP4</f>
        <v>0</v>
      </c>
      <c r="AQ5" s="231" t="n">
        <f aca="false">AQ4</f>
        <v>0</v>
      </c>
      <c r="AR5" s="231" t="n">
        <f aca="false">AR4</f>
        <v>0</v>
      </c>
      <c r="AS5" s="231" t="n">
        <f aca="false">AS4</f>
        <v>0</v>
      </c>
      <c r="AT5" s="231" t="n">
        <f aca="false">AT4</f>
        <v>0</v>
      </c>
      <c r="AU5" s="231" t="n">
        <f aca="false">AU4</f>
        <v>0</v>
      </c>
      <c r="AV5" s="231" t="n">
        <f aca="false">AV4</f>
        <v>0</v>
      </c>
      <c r="AW5" s="231" t="n">
        <f aca="false">AW4</f>
        <v>0</v>
      </c>
      <c r="AX5" s="231" t="n">
        <f aca="false">AX4</f>
        <v>0</v>
      </c>
      <c r="AY5" s="231" t="n">
        <f aca="false">AY4</f>
        <v>0</v>
      </c>
      <c r="AZ5" s="231" t="n">
        <f aca="false">AZ4</f>
        <v>0</v>
      </c>
      <c r="BA5" s="231" t="n">
        <f aca="false">BA4</f>
        <v>0</v>
      </c>
      <c r="BB5" s="231" t="n">
        <f aca="false">BB4</f>
        <v>0</v>
      </c>
      <c r="BC5" s="231" t="n">
        <f aca="false">BC4</f>
        <v>0</v>
      </c>
      <c r="BD5" s="231" t="n">
        <f aca="false">BD4</f>
        <v>0</v>
      </c>
      <c r="BE5" s="231" t="n">
        <f aca="false">BE4</f>
        <v>0</v>
      </c>
      <c r="BF5" s="231" t="n">
        <f aca="false">BF4</f>
        <v>0</v>
      </c>
      <c r="BG5" s="231" t="n">
        <f aca="false">BG4</f>
        <v>0</v>
      </c>
      <c r="BH5" s="231" t="n">
        <f aca="false">BH4</f>
        <v>0</v>
      </c>
      <c r="BI5" s="231" t="n">
        <f aca="false">BI4</f>
        <v>0</v>
      </c>
      <c r="BJ5" s="231" t="n">
        <f aca="false">BJ4</f>
        <v>0</v>
      </c>
      <c r="BK5" s="231" t="n">
        <f aca="false">BK4</f>
        <v>0</v>
      </c>
      <c r="BL5" s="231" t="n">
        <f aca="false">BL4</f>
        <v>0</v>
      </c>
      <c r="BM5" s="231" t="n">
        <f aca="false">BM4</f>
        <v>0</v>
      </c>
      <c r="BN5" s="231" t="n">
        <f aca="false">BN4</f>
        <v>0</v>
      </c>
      <c r="BO5" s="231" t="n">
        <f aca="false">BO4</f>
        <v>0</v>
      </c>
      <c r="BP5" s="231" t="n">
        <f aca="false">BP4</f>
        <v>0</v>
      </c>
      <c r="BQ5" s="231" t="n">
        <f aca="false">BQ4</f>
        <v>0</v>
      </c>
      <c r="BR5" s="231" t="n">
        <f aca="false">BR4</f>
        <v>0</v>
      </c>
      <c r="BS5" s="231" t="n">
        <f aca="false">BS4</f>
        <v>0</v>
      </c>
      <c r="BT5" s="231" t="n">
        <f aca="false">BT4</f>
        <v>0</v>
      </c>
      <c r="BU5" s="231" t="n">
        <f aca="false">BU4</f>
        <v>0</v>
      </c>
      <c r="BV5" s="231" t="n">
        <f aca="false">BV4</f>
        <v>0</v>
      </c>
      <c r="BW5" s="231" t="n">
        <f aca="false">BW4</f>
        <v>0</v>
      </c>
      <c r="BX5" s="231" t="n">
        <f aca="false">BX4</f>
        <v>0</v>
      </c>
      <c r="BY5" s="231" t="n">
        <f aca="false">BY4</f>
        <v>0</v>
      </c>
      <c r="BZ5" s="231" t="n">
        <f aca="false">BZ4</f>
        <v>0</v>
      </c>
      <c r="CA5" s="231" t="n">
        <f aca="false">CA4</f>
        <v>0</v>
      </c>
      <c r="CB5" s="231" t="n">
        <f aca="false">CB4</f>
        <v>0</v>
      </c>
      <c r="CC5" s="231" t="n">
        <f aca="false">CC4</f>
        <v>0</v>
      </c>
      <c r="CD5" s="231" t="n">
        <f aca="false">CD4</f>
        <v>0</v>
      </c>
      <c r="CE5" s="231" t="n">
        <f aca="false">CE4</f>
        <v>0</v>
      </c>
      <c r="CF5" s="231" t="n">
        <f aca="false">CF4</f>
        <v>0</v>
      </c>
      <c r="CG5" s="231" t="n">
        <f aca="false">CG4</f>
        <v>0</v>
      </c>
      <c r="CH5" s="231" t="n">
        <f aca="false">CH4</f>
        <v>0</v>
      </c>
    </row>
    <row r="6" customFormat="false" ht="15" hidden="false" customHeight="true" outlineLevel="0" collapsed="false">
      <c r="A6" s="2" t="s">
        <v>757</v>
      </c>
      <c r="B6" s="3"/>
      <c r="C6" s="232" t="n">
        <f aca="false">C5</f>
        <v>9375</v>
      </c>
      <c r="D6" s="232" t="n">
        <f aca="false">C6+D5</f>
        <v>18750</v>
      </c>
      <c r="E6" s="232" t="n">
        <f aca="false">D6+E5</f>
        <v>28125</v>
      </c>
      <c r="F6" s="232" t="n">
        <f aca="false">E6+F5</f>
        <v>37500</v>
      </c>
      <c r="G6" s="232" t="n">
        <f aca="false">F6+G5</f>
        <v>46875</v>
      </c>
      <c r="H6" s="232" t="n">
        <f aca="false">G6+H5</f>
        <v>56250</v>
      </c>
      <c r="I6" s="232" t="n">
        <f aca="false">H6+I5</f>
        <v>65625</v>
      </c>
      <c r="J6" s="232" t="n">
        <f aca="false">I6+J5</f>
        <v>65625</v>
      </c>
      <c r="K6" s="232" t="n">
        <f aca="false">J6+K5</f>
        <v>65625</v>
      </c>
      <c r="L6" s="232" t="n">
        <f aca="false">K6+L5</f>
        <v>65625</v>
      </c>
      <c r="M6" s="232" t="n">
        <f aca="false">L6+M5</f>
        <v>65625</v>
      </c>
      <c r="N6" s="232" t="n">
        <f aca="false">M6+N5</f>
        <v>65625</v>
      </c>
      <c r="O6" s="232" t="n">
        <f aca="false">N6+O5</f>
        <v>65625</v>
      </c>
      <c r="P6" s="232" t="n">
        <f aca="false">O6+P5</f>
        <v>65625</v>
      </c>
      <c r="Q6" s="232" t="n">
        <f aca="false">P6+Q5</f>
        <v>65625</v>
      </c>
      <c r="R6" s="232" t="n">
        <f aca="false">Q6+R5</f>
        <v>65625</v>
      </c>
      <c r="S6" s="232" t="n">
        <f aca="false">R6+S5</f>
        <v>65625</v>
      </c>
      <c r="T6" s="232" t="n">
        <f aca="false">S6+T5</f>
        <v>65625</v>
      </c>
      <c r="U6" s="232" t="n">
        <f aca="false">T6+U5</f>
        <v>65625</v>
      </c>
      <c r="V6" s="232" t="n">
        <f aca="false">U6+V5</f>
        <v>65625</v>
      </c>
      <c r="W6" s="232" t="n">
        <f aca="false">V6+W5</f>
        <v>65625</v>
      </c>
      <c r="X6" s="232" t="n">
        <f aca="false">W6+X5</f>
        <v>65625</v>
      </c>
      <c r="Y6" s="232" t="n">
        <f aca="false">X6+Y5</f>
        <v>65625</v>
      </c>
      <c r="Z6" s="232" t="n">
        <f aca="false">Y6+Z5</f>
        <v>65625</v>
      </c>
      <c r="AA6" s="232" t="n">
        <f aca="false">Z6+AA5</f>
        <v>65625</v>
      </c>
      <c r="AB6" s="232" t="n">
        <f aca="false">AA6+AB5</f>
        <v>65625</v>
      </c>
      <c r="AC6" s="232" t="n">
        <f aca="false">AB6+AC5</f>
        <v>65625</v>
      </c>
      <c r="AD6" s="232" t="n">
        <f aca="false">AC6+AD5</f>
        <v>65625</v>
      </c>
      <c r="AE6" s="232" t="n">
        <f aca="false">AD6+AE5</f>
        <v>65625</v>
      </c>
      <c r="AF6" s="232" t="n">
        <f aca="false">AE6+AF5</f>
        <v>65625</v>
      </c>
      <c r="AG6" s="232" t="n">
        <f aca="false">AF6+AG5</f>
        <v>65625</v>
      </c>
      <c r="AH6" s="232" t="n">
        <f aca="false">AG6+AH5</f>
        <v>65625</v>
      </c>
      <c r="AI6" s="232" t="n">
        <f aca="false">AH6+AI5</f>
        <v>65625</v>
      </c>
      <c r="AJ6" s="232" t="n">
        <f aca="false">AI6+AJ5</f>
        <v>65625</v>
      </c>
      <c r="AK6" s="232" t="n">
        <f aca="false">AJ6+AK5</f>
        <v>65625</v>
      </c>
      <c r="AL6" s="232" t="n">
        <f aca="false">AK6+AL5</f>
        <v>65625</v>
      </c>
      <c r="AM6" s="232" t="n">
        <f aca="false">AL6+AM5</f>
        <v>65625</v>
      </c>
      <c r="AN6" s="232" t="n">
        <f aca="false">AM6+AN5</f>
        <v>65625</v>
      </c>
      <c r="AO6" s="232" t="n">
        <f aca="false">AN6+AO5</f>
        <v>65625</v>
      </c>
      <c r="AP6" s="232" t="n">
        <f aca="false">AO6+AP5</f>
        <v>65625</v>
      </c>
      <c r="AQ6" s="232" t="n">
        <f aca="false">AP6+AQ5</f>
        <v>65625</v>
      </c>
      <c r="AR6" s="232" t="n">
        <f aca="false">AQ6+AR5</f>
        <v>65625</v>
      </c>
      <c r="AS6" s="232" t="n">
        <f aca="false">AR6+AS5</f>
        <v>65625</v>
      </c>
      <c r="AT6" s="232" t="n">
        <f aca="false">AS6+AT5</f>
        <v>65625</v>
      </c>
      <c r="AU6" s="232" t="n">
        <f aca="false">AT6+AU5</f>
        <v>65625</v>
      </c>
      <c r="AV6" s="232" t="n">
        <f aca="false">AU6+AV5</f>
        <v>65625</v>
      </c>
      <c r="AW6" s="232" t="n">
        <f aca="false">AV6+AW5</f>
        <v>65625</v>
      </c>
      <c r="AX6" s="232" t="n">
        <f aca="false">AW6+AX5</f>
        <v>65625</v>
      </c>
      <c r="AY6" s="232" t="n">
        <f aca="false">AX6+AY5</f>
        <v>65625</v>
      </c>
      <c r="AZ6" s="232" t="n">
        <f aca="false">AY6+AZ5</f>
        <v>65625</v>
      </c>
      <c r="BA6" s="232" t="n">
        <f aca="false">AZ6+BA5</f>
        <v>65625</v>
      </c>
      <c r="BB6" s="232" t="n">
        <f aca="false">BA6+BB5</f>
        <v>65625</v>
      </c>
      <c r="BC6" s="232" t="n">
        <f aca="false">BB6+BC5</f>
        <v>65625</v>
      </c>
      <c r="BD6" s="232" t="n">
        <f aca="false">BC6+BD5</f>
        <v>65625</v>
      </c>
      <c r="BE6" s="232" t="n">
        <f aca="false">BD6+BE5</f>
        <v>65625</v>
      </c>
      <c r="BF6" s="232" t="n">
        <f aca="false">BE6+BF5</f>
        <v>65625</v>
      </c>
      <c r="BG6" s="232" t="n">
        <f aca="false">BF6+BG5</f>
        <v>65625</v>
      </c>
      <c r="BH6" s="232" t="n">
        <f aca="false">BG6+BH5</f>
        <v>65625</v>
      </c>
      <c r="BI6" s="232" t="n">
        <f aca="false">BH6+BI5</f>
        <v>65625</v>
      </c>
      <c r="BJ6" s="232" t="n">
        <f aca="false">BI6+BJ5</f>
        <v>65625</v>
      </c>
      <c r="BK6" s="232" t="n">
        <f aca="false">BJ6+BK5</f>
        <v>65625</v>
      </c>
      <c r="BL6" s="232" t="n">
        <f aca="false">BK6+BL5</f>
        <v>65625</v>
      </c>
      <c r="BM6" s="232" t="n">
        <f aca="false">BL6+BM5</f>
        <v>65625</v>
      </c>
      <c r="BN6" s="232" t="n">
        <f aca="false">BM6+BN5</f>
        <v>65625</v>
      </c>
      <c r="BO6" s="232" t="n">
        <f aca="false">BN6+BO5</f>
        <v>65625</v>
      </c>
      <c r="BP6" s="232" t="n">
        <f aca="false">BO6+BP5</f>
        <v>65625</v>
      </c>
      <c r="BQ6" s="232" t="n">
        <f aca="false">BP6+BQ5</f>
        <v>65625</v>
      </c>
      <c r="BR6" s="232" t="n">
        <f aca="false">BQ6+BR5</f>
        <v>65625</v>
      </c>
      <c r="BS6" s="232" t="n">
        <f aca="false">BR6+BS5</f>
        <v>65625</v>
      </c>
      <c r="BT6" s="232" t="n">
        <f aca="false">BS6+BT5</f>
        <v>65625</v>
      </c>
      <c r="BU6" s="232" t="n">
        <f aca="false">BT6+BU5</f>
        <v>65625</v>
      </c>
      <c r="BV6" s="232" t="n">
        <f aca="false">BU6+BV5</f>
        <v>65625</v>
      </c>
      <c r="BW6" s="232" t="n">
        <f aca="false">BV6+BW5</f>
        <v>65625</v>
      </c>
      <c r="BX6" s="232" t="n">
        <f aca="false">BW6+BX5</f>
        <v>65625</v>
      </c>
      <c r="BY6" s="232" t="n">
        <f aca="false">BX6+BY5</f>
        <v>65625</v>
      </c>
      <c r="BZ6" s="232" t="n">
        <f aca="false">BY6+BZ5</f>
        <v>65625</v>
      </c>
      <c r="CA6" s="232" t="n">
        <f aca="false">BZ6+CA5</f>
        <v>65625</v>
      </c>
      <c r="CB6" s="232" t="n">
        <f aca="false">CA6+CB5</f>
        <v>65625</v>
      </c>
      <c r="CC6" s="232" t="n">
        <f aca="false">CB6+CC5</f>
        <v>65625</v>
      </c>
      <c r="CD6" s="232" t="n">
        <f aca="false">CC6+CD5</f>
        <v>65625</v>
      </c>
      <c r="CE6" s="232" t="n">
        <f aca="false">CD6+CE5</f>
        <v>65625</v>
      </c>
      <c r="CF6" s="232" t="n">
        <f aca="false">CE6+CF5</f>
        <v>65625</v>
      </c>
      <c r="CG6" s="232" t="n">
        <f aca="false">CF6+CG5</f>
        <v>65625</v>
      </c>
      <c r="CH6" s="23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755</v>
      </c>
      <c r="B9" s="3"/>
      <c r="C9" s="229" t="n">
        <f aca="false">Model!E242+Model!E243+Model!E244+Model!E245</f>
        <v>23906.25</v>
      </c>
      <c r="D9" s="229" t="n">
        <f aca="false">Model!F242+Model!F243+Model!F244+Model!F245</f>
        <v>23906.25</v>
      </c>
      <c r="E9" s="229" t="n">
        <f aca="false">Model!G242+Model!G243+Model!G244+Model!G245</f>
        <v>23906.25</v>
      </c>
      <c r="F9" s="229" t="n">
        <f aca="false">Model!H242+Model!H243+Model!H244+Model!H245</f>
        <v>23906.25</v>
      </c>
      <c r="G9" s="229" t="n">
        <f aca="false">Model!I242+Model!I243+Model!I244+Model!I245</f>
        <v>23906.25</v>
      </c>
      <c r="H9" s="229" t="n">
        <f aca="false">Model!J242+Model!J243+Model!J244+Model!J245</f>
        <v>23906.25</v>
      </c>
      <c r="I9" s="229" t="n">
        <f aca="false">Model!K242+Model!K243+Model!K244+Model!K245</f>
        <v>23906.25</v>
      </c>
      <c r="J9" s="229" t="n">
        <f aca="false">Model!L242+Model!L243+Model!L244+Model!L245</f>
        <v>23906.25</v>
      </c>
      <c r="K9" s="229" t="n">
        <f aca="false">Model!M242+Model!M243+Model!M244+Model!M245</f>
        <v>23906.25</v>
      </c>
      <c r="L9" s="229" t="n">
        <f aca="false">Model!N242+Model!N243+Model!N244+Model!N245</f>
        <v>23906.25</v>
      </c>
      <c r="M9" s="229" t="n">
        <f aca="false">Model!O242+Model!O243+Model!O244+Model!O245</f>
        <v>23906.25</v>
      </c>
      <c r="N9" s="229" t="n">
        <f aca="false">Model!P242+Model!P243+Model!P244+Model!P245</f>
        <v>23906.25</v>
      </c>
      <c r="O9" s="229" t="n">
        <f aca="false">Model!Q242+Model!Q243+Model!Q244+Model!Q245</f>
        <v>23906.25</v>
      </c>
      <c r="P9" s="229" t="n">
        <f aca="false">Model!R242+Model!R243+Model!R244+Model!R245</f>
        <v>23906.25</v>
      </c>
      <c r="Q9" s="229" t="n">
        <f aca="false">Model!S242+Model!S243+Model!S244+Model!S245</f>
        <v>23906.25</v>
      </c>
      <c r="R9" s="229" t="n">
        <f aca="false">Model!T242+Model!T243+Model!T244+Model!T245</f>
        <v>0</v>
      </c>
      <c r="S9" s="229" t="n">
        <f aca="false">Model!U242+Model!U243+Model!U244+Model!U245</f>
        <v>0</v>
      </c>
      <c r="T9" s="229" t="n">
        <f aca="false">Model!V242+Model!V243+Model!V244+Model!V245</f>
        <v>0</v>
      </c>
      <c r="U9" s="229" t="n">
        <f aca="false">Model!W242+Model!W243+Model!W244+Model!W245</f>
        <v>0</v>
      </c>
      <c r="V9" s="229" t="n">
        <f aca="false">Model!X242+Model!X243+Model!X244+Model!X245</f>
        <v>0</v>
      </c>
      <c r="W9" s="229" t="n">
        <f aca="false">Model!Y242+Model!Y243+Model!Y244+Model!Y245</f>
        <v>57375</v>
      </c>
      <c r="X9" s="229" t="n">
        <f aca="false">Model!Z242+Model!Z243+Model!Z244+Model!Z245</f>
        <v>0</v>
      </c>
      <c r="Y9" s="229" t="n">
        <f aca="false">Model!AA242+Model!AA243+Model!AA244+Model!AA245</f>
        <v>0</v>
      </c>
      <c r="Z9" s="229" t="n">
        <f aca="false">Model!AB242+Model!AB243+Model!AB244+Model!AB245</f>
        <v>57375</v>
      </c>
      <c r="AA9" s="229" t="n">
        <f aca="false">Model!AC242+Model!AC243+Model!AC244+Model!AC245</f>
        <v>0</v>
      </c>
      <c r="AB9" s="229" t="n">
        <f aca="false">Model!AD242+Model!AD243+Model!AD244+Model!AD245</f>
        <v>0</v>
      </c>
      <c r="AC9" s="229" t="n">
        <f aca="false">Model!AE242+Model!AE243+Model!AE244+Model!AE245</f>
        <v>57375</v>
      </c>
      <c r="AD9" s="229" t="n">
        <f aca="false">Model!AF242+Model!AF243+Model!AF244+Model!AF245</f>
        <v>0</v>
      </c>
      <c r="AE9" s="229" t="n">
        <f aca="false">Model!AG242+Model!AG243+Model!AG244+Model!AG245</f>
        <v>0</v>
      </c>
      <c r="AF9" s="229" t="n">
        <f aca="false">Model!AH242+Model!AH243+Model!AH244+Model!AH245</f>
        <v>0</v>
      </c>
      <c r="AG9" s="229" t="n">
        <f aca="false">Model!AI242+Model!AI243+Model!AI244+Model!AI245</f>
        <v>0</v>
      </c>
      <c r="AH9" s="229" t="n">
        <f aca="false">Model!AJ242+Model!AJ243+Model!AJ244+Model!AJ245</f>
        <v>0</v>
      </c>
      <c r="AI9" s="229" t="n">
        <f aca="false">Model!AK242+Model!AK243+Model!AK244+Model!AK245</f>
        <v>0</v>
      </c>
      <c r="AJ9" s="229" t="n">
        <f aca="false">Model!AL242+Model!AL243+Model!AL244+Model!AL245</f>
        <v>0</v>
      </c>
      <c r="AK9" s="229" t="n">
        <f aca="false">Model!AM242+Model!AM243+Model!AM244+Model!AM245</f>
        <v>0</v>
      </c>
      <c r="AL9" s="229" t="n">
        <f aca="false">Model!AN242+Model!AN243+Model!AN244+Model!AN245</f>
        <v>0</v>
      </c>
      <c r="AM9" s="229" t="n">
        <f aca="false">Model!AO242+Model!AO243+Model!AO244+Model!AO245</f>
        <v>0</v>
      </c>
      <c r="AN9" s="229" t="n">
        <f aca="false">Model!AP242+Model!AP243+Model!AP244+Model!AP245</f>
        <v>0</v>
      </c>
      <c r="AO9" s="229" t="n">
        <f aca="false">Model!AQ242+Model!AQ243+Model!AQ244+Model!AQ245</f>
        <v>0</v>
      </c>
      <c r="AP9" s="229" t="n">
        <f aca="false">Model!AR242+Model!AR243+Model!AR244+Model!AR245</f>
        <v>0</v>
      </c>
      <c r="AQ9" s="229" t="n">
        <f aca="false">Model!AS242+Model!AS243+Model!AS244+Model!AS245</f>
        <v>0</v>
      </c>
      <c r="AR9" s="229" t="n">
        <f aca="false">Model!AT242+Model!AT243+Model!AT244+Model!AT245</f>
        <v>0</v>
      </c>
      <c r="AS9" s="229" t="n">
        <f aca="false">Model!AU242+Model!AU243+Model!AU244+Model!AU245</f>
        <v>0</v>
      </c>
      <c r="AT9" s="229" t="n">
        <f aca="false">Model!AV242+Model!AV243+Model!AV244+Model!AV245</f>
        <v>0</v>
      </c>
      <c r="AU9" s="229" t="n">
        <f aca="false">Model!AW242+Model!AW243+Model!AW244+Model!AW245</f>
        <v>0</v>
      </c>
      <c r="AV9" s="229" t="n">
        <f aca="false">Model!AX242+Model!AX243+Model!AX244+Model!AX245</f>
        <v>0</v>
      </c>
      <c r="AW9" s="229" t="n">
        <f aca="false">Model!AY242+Model!AY243+Model!AY244+Model!AY245</f>
        <v>0</v>
      </c>
      <c r="AX9" s="229" t="n">
        <f aca="false">Model!AZ242+Model!AZ243+Model!AZ244+Model!AZ245</f>
        <v>0</v>
      </c>
      <c r="AY9" s="229" t="n">
        <f aca="false">Model!BA242+Model!BA243+Model!BA244+Model!BA245</f>
        <v>0</v>
      </c>
      <c r="AZ9" s="229" t="n">
        <f aca="false">Model!BB242+Model!BB243+Model!BB244+Model!BB245</f>
        <v>0</v>
      </c>
      <c r="BA9" s="229" t="n">
        <f aca="false">Model!BC242+Model!BC243+Model!BC244+Model!BC245</f>
        <v>0</v>
      </c>
      <c r="BB9" s="229" t="n">
        <f aca="false">Model!BD242+Model!BD243+Model!BD244+Model!BD245</f>
        <v>0</v>
      </c>
      <c r="BC9" s="229" t="n">
        <f aca="false">Model!BE242+Model!BE243+Model!BE244+Model!BE245</f>
        <v>0</v>
      </c>
      <c r="BD9" s="229" t="n">
        <f aca="false">Model!BF242+Model!BF243+Model!BF244+Model!BF245</f>
        <v>0</v>
      </c>
      <c r="BE9" s="229" t="n">
        <f aca="false">Model!BG242+Model!BG243+Model!BG244+Model!BG245</f>
        <v>0</v>
      </c>
      <c r="BF9" s="229" t="n">
        <f aca="false">Model!BH242+Model!BH243+Model!BH244+Model!BH245</f>
        <v>0</v>
      </c>
      <c r="BG9" s="229" t="n">
        <f aca="false">Model!BI242+Model!BI243+Model!BI244+Model!BI245</f>
        <v>0</v>
      </c>
      <c r="BH9" s="229" t="n">
        <f aca="false">Model!BJ242+Model!BJ243+Model!BJ244+Model!BJ245</f>
        <v>0</v>
      </c>
      <c r="BI9" s="229" t="n">
        <f aca="false">Model!BK242+Model!BK243+Model!BK244+Model!BK245</f>
        <v>0</v>
      </c>
      <c r="BJ9" s="229" t="n">
        <f aca="false">Model!BL242+Model!BL243+Model!BL244+Model!BL245</f>
        <v>0</v>
      </c>
      <c r="BK9" s="229" t="n">
        <f aca="false">Model!BM242+Model!BM243+Model!BM244+Model!BM245</f>
        <v>0</v>
      </c>
      <c r="BL9" s="229" t="n">
        <f aca="false">Model!BN242+Model!BN243+Model!BN244+Model!BN245</f>
        <v>0</v>
      </c>
      <c r="BM9" s="229" t="n">
        <f aca="false">Model!BO242+Model!BO243+Model!BO244+Model!BO245</f>
        <v>0</v>
      </c>
      <c r="BN9" s="229" t="n">
        <f aca="false">Model!BP242+Model!BP243+Model!BP244+Model!BP245</f>
        <v>0</v>
      </c>
      <c r="BO9" s="229" t="n">
        <f aca="false">Model!BQ242+Model!BQ243+Model!BQ244+Model!BQ245</f>
        <v>0</v>
      </c>
      <c r="BP9" s="229" t="n">
        <f aca="false">Model!BR242+Model!BR243+Model!BR244+Model!BR245</f>
        <v>0</v>
      </c>
      <c r="BQ9" s="229" t="n">
        <f aca="false">Model!BS242+Model!BS243+Model!BS244+Model!BS245</f>
        <v>0</v>
      </c>
      <c r="BR9" s="229" t="n">
        <f aca="false">Model!BT242+Model!BT243+Model!BT244+Model!BT245</f>
        <v>0</v>
      </c>
      <c r="BS9" s="229" t="n">
        <f aca="false">Model!BU242+Model!BU243+Model!BU244+Model!BU245</f>
        <v>0</v>
      </c>
      <c r="BT9" s="229" t="n">
        <f aca="false">Model!BV242+Model!BV243+Model!BV244+Model!BV245</f>
        <v>0</v>
      </c>
      <c r="BU9" s="229" t="n">
        <f aca="false">Model!BW242+Model!BW243+Model!BW244+Model!BW245</f>
        <v>0</v>
      </c>
      <c r="BV9" s="229" t="n">
        <f aca="false">Model!BX242+Model!BX243+Model!BX244+Model!BX245</f>
        <v>0</v>
      </c>
      <c r="BW9" s="229" t="n">
        <f aca="false">Model!BY242+Model!BY243+Model!BY244+Model!BY245</f>
        <v>0</v>
      </c>
      <c r="BX9" s="229" t="n">
        <f aca="false">Model!BZ242+Model!BZ243+Model!BZ244+Model!BZ245</f>
        <v>0</v>
      </c>
      <c r="BY9" s="229" t="n">
        <f aca="false">Model!CA242+Model!CA243+Model!CA244+Model!CA245</f>
        <v>0</v>
      </c>
      <c r="BZ9" s="229" t="n">
        <f aca="false">Model!CB242+Model!CB243+Model!CB244+Model!CB245</f>
        <v>0</v>
      </c>
      <c r="CA9" s="229" t="n">
        <f aca="false">Model!CC242+Model!CC243+Model!CC244+Model!CC245</f>
        <v>0</v>
      </c>
      <c r="CB9" s="229" t="n">
        <f aca="false">Model!CD242+Model!CD243+Model!CD244+Model!CD245</f>
        <v>0</v>
      </c>
      <c r="CC9" s="229" t="n">
        <f aca="false">Model!CE242+Model!CE243+Model!CE244+Model!CE245</f>
        <v>0</v>
      </c>
      <c r="CD9" s="229" t="n">
        <f aca="false">Model!CF242+Model!CF243+Model!CF244+Model!CF245</f>
        <v>0</v>
      </c>
      <c r="CE9" s="229" t="n">
        <f aca="false">Model!CG242+Model!CG243+Model!CG244+Model!CG245</f>
        <v>0</v>
      </c>
      <c r="CF9" s="229" t="n">
        <f aca="false">Model!CH242+Model!CH243+Model!CH244+Model!CH245</f>
        <v>0</v>
      </c>
      <c r="CG9" s="229" t="n">
        <f aca="false">Model!CI242+Model!CI243+Model!CI244+Model!CI245</f>
        <v>0</v>
      </c>
      <c r="CH9" s="229" t="n">
        <f aca="false">Model!CJ242+Model!CJ243+Model!CJ244+Model!CJ245</f>
        <v>0</v>
      </c>
    </row>
    <row r="10" customFormat="false" ht="15" hidden="false" customHeight="true" outlineLevel="0" collapsed="false">
      <c r="A10" s="230" t="s">
        <v>756</v>
      </c>
      <c r="B10" s="230"/>
      <c r="C10" s="231" t="n">
        <f aca="false">C9</f>
        <v>23906.25</v>
      </c>
      <c r="D10" s="231" t="n">
        <f aca="false">D9</f>
        <v>23906.25</v>
      </c>
      <c r="E10" s="231" t="n">
        <f aca="false">E9</f>
        <v>23906.25</v>
      </c>
      <c r="F10" s="231" t="n">
        <f aca="false">F9</f>
        <v>23906.25</v>
      </c>
      <c r="G10" s="231" t="n">
        <f aca="false">G9</f>
        <v>23906.25</v>
      </c>
      <c r="H10" s="231" t="n">
        <f aca="false">H9</f>
        <v>23906.25</v>
      </c>
      <c r="I10" s="231" t="n">
        <f aca="false">I9</f>
        <v>23906.25</v>
      </c>
      <c r="J10" s="231" t="n">
        <f aca="false">J9</f>
        <v>23906.25</v>
      </c>
      <c r="K10" s="231" t="n">
        <f aca="false">K9</f>
        <v>23906.25</v>
      </c>
      <c r="L10" s="231" t="n">
        <f aca="false">L9</f>
        <v>23906.25</v>
      </c>
      <c r="M10" s="231" t="n">
        <f aca="false">M9</f>
        <v>23906.25</v>
      </c>
      <c r="N10" s="231" t="n">
        <f aca="false">N9</f>
        <v>23906.25</v>
      </c>
      <c r="O10" s="231" t="n">
        <f aca="false">O9</f>
        <v>23906.25</v>
      </c>
      <c r="P10" s="231" t="n">
        <f aca="false">P9</f>
        <v>23906.25</v>
      </c>
      <c r="Q10" s="231" t="n">
        <f aca="false">Q9</f>
        <v>23906.25</v>
      </c>
      <c r="R10" s="231" t="n">
        <f aca="false">R9</f>
        <v>0</v>
      </c>
      <c r="S10" s="231" t="n">
        <f aca="false">S9</f>
        <v>0</v>
      </c>
      <c r="T10" s="231" t="n">
        <f aca="false">T9</f>
        <v>0</v>
      </c>
      <c r="U10" s="231" t="n">
        <f aca="false">U9</f>
        <v>0</v>
      </c>
      <c r="V10" s="231" t="n">
        <f aca="false">V9</f>
        <v>0</v>
      </c>
      <c r="W10" s="231" t="n">
        <f aca="false">W9</f>
        <v>57375</v>
      </c>
      <c r="X10" s="231" t="n">
        <f aca="false">X9</f>
        <v>0</v>
      </c>
      <c r="Y10" s="231" t="n">
        <f aca="false">Y9</f>
        <v>0</v>
      </c>
      <c r="Z10" s="231" t="n">
        <f aca="false">Z9</f>
        <v>57375</v>
      </c>
      <c r="AA10" s="231" t="n">
        <f aca="false">AA9</f>
        <v>0</v>
      </c>
      <c r="AB10" s="231" t="n">
        <f aca="false">AB9</f>
        <v>0</v>
      </c>
      <c r="AC10" s="231" t="n">
        <f aca="false">AC9</f>
        <v>57375</v>
      </c>
      <c r="AD10" s="231" t="n">
        <f aca="false">AD9</f>
        <v>0</v>
      </c>
      <c r="AE10" s="231" t="n">
        <f aca="false">AE9</f>
        <v>0</v>
      </c>
      <c r="AF10" s="231" t="n">
        <f aca="false">AF9</f>
        <v>0</v>
      </c>
      <c r="AG10" s="231" t="n">
        <f aca="false">AG9</f>
        <v>0</v>
      </c>
      <c r="AH10" s="231" t="n">
        <f aca="false">AH9</f>
        <v>0</v>
      </c>
      <c r="AI10" s="231" t="n">
        <f aca="false">AI9</f>
        <v>0</v>
      </c>
      <c r="AJ10" s="231" t="n">
        <f aca="false">AJ9</f>
        <v>0</v>
      </c>
      <c r="AK10" s="231" t="n">
        <f aca="false">AK9</f>
        <v>0</v>
      </c>
      <c r="AL10" s="231" t="n">
        <f aca="false">AL9</f>
        <v>0</v>
      </c>
      <c r="AM10" s="231" t="n">
        <f aca="false">AM9</f>
        <v>0</v>
      </c>
      <c r="AN10" s="231" t="n">
        <f aca="false">AN9</f>
        <v>0</v>
      </c>
      <c r="AO10" s="231" t="n">
        <f aca="false">AO9</f>
        <v>0</v>
      </c>
      <c r="AP10" s="231" t="n">
        <f aca="false">AP9</f>
        <v>0</v>
      </c>
      <c r="AQ10" s="231" t="n">
        <f aca="false">AQ9</f>
        <v>0</v>
      </c>
      <c r="AR10" s="231" t="n">
        <f aca="false">AR9</f>
        <v>0</v>
      </c>
      <c r="AS10" s="231" t="n">
        <f aca="false">AS9</f>
        <v>0</v>
      </c>
      <c r="AT10" s="231" t="n">
        <f aca="false">AT9</f>
        <v>0</v>
      </c>
      <c r="AU10" s="231" t="n">
        <f aca="false">AU9</f>
        <v>0</v>
      </c>
      <c r="AV10" s="231" t="n">
        <f aca="false">AV9</f>
        <v>0</v>
      </c>
      <c r="AW10" s="231" t="n">
        <f aca="false">AW9</f>
        <v>0</v>
      </c>
      <c r="AX10" s="231" t="n">
        <f aca="false">AX9</f>
        <v>0</v>
      </c>
      <c r="AY10" s="231" t="n">
        <f aca="false">AY9</f>
        <v>0</v>
      </c>
      <c r="AZ10" s="231" t="n">
        <f aca="false">AZ9</f>
        <v>0</v>
      </c>
      <c r="BA10" s="231" t="n">
        <f aca="false">BA9</f>
        <v>0</v>
      </c>
      <c r="BB10" s="231" t="n">
        <f aca="false">BB9</f>
        <v>0</v>
      </c>
      <c r="BC10" s="231" t="n">
        <f aca="false">BC9</f>
        <v>0</v>
      </c>
      <c r="BD10" s="231" t="n">
        <f aca="false">BD9</f>
        <v>0</v>
      </c>
      <c r="BE10" s="231" t="n">
        <f aca="false">BE9</f>
        <v>0</v>
      </c>
      <c r="BF10" s="231" t="n">
        <f aca="false">BF9</f>
        <v>0</v>
      </c>
      <c r="BG10" s="231" t="n">
        <f aca="false">BG9</f>
        <v>0</v>
      </c>
      <c r="BH10" s="231" t="n">
        <f aca="false">BH9</f>
        <v>0</v>
      </c>
      <c r="BI10" s="231" t="n">
        <f aca="false">BI9</f>
        <v>0</v>
      </c>
      <c r="BJ10" s="231" t="n">
        <f aca="false">BJ9</f>
        <v>0</v>
      </c>
      <c r="BK10" s="231" t="n">
        <f aca="false">BK9</f>
        <v>0</v>
      </c>
      <c r="BL10" s="231" t="n">
        <f aca="false">BL9</f>
        <v>0</v>
      </c>
      <c r="BM10" s="231" t="n">
        <f aca="false">BM9</f>
        <v>0</v>
      </c>
      <c r="BN10" s="231" t="n">
        <f aca="false">BN9</f>
        <v>0</v>
      </c>
      <c r="BO10" s="231" t="n">
        <f aca="false">BO9</f>
        <v>0</v>
      </c>
      <c r="BP10" s="231" t="n">
        <f aca="false">BP9</f>
        <v>0</v>
      </c>
      <c r="BQ10" s="231" t="n">
        <f aca="false">BQ9</f>
        <v>0</v>
      </c>
      <c r="BR10" s="231" t="n">
        <f aca="false">BR9</f>
        <v>0</v>
      </c>
      <c r="BS10" s="231" t="n">
        <f aca="false">BS9</f>
        <v>0</v>
      </c>
      <c r="BT10" s="231" t="n">
        <f aca="false">BT9</f>
        <v>0</v>
      </c>
      <c r="BU10" s="231" t="n">
        <f aca="false">BU9</f>
        <v>0</v>
      </c>
      <c r="BV10" s="231" t="n">
        <f aca="false">BV9</f>
        <v>0</v>
      </c>
      <c r="BW10" s="231" t="n">
        <f aca="false">BW9</f>
        <v>0</v>
      </c>
      <c r="BX10" s="231" t="n">
        <f aca="false">BX9</f>
        <v>0</v>
      </c>
      <c r="BY10" s="231" t="n">
        <f aca="false">BY9</f>
        <v>0</v>
      </c>
      <c r="BZ10" s="231" t="n">
        <f aca="false">BZ9</f>
        <v>0</v>
      </c>
      <c r="CA10" s="231" t="n">
        <f aca="false">CA9</f>
        <v>0</v>
      </c>
      <c r="CB10" s="231" t="n">
        <f aca="false">CB9</f>
        <v>0</v>
      </c>
      <c r="CC10" s="231" t="n">
        <f aca="false">CC9</f>
        <v>0</v>
      </c>
      <c r="CD10" s="231" t="n">
        <f aca="false">CD9</f>
        <v>0</v>
      </c>
      <c r="CE10" s="231" t="n">
        <f aca="false">CE9</f>
        <v>0</v>
      </c>
      <c r="CF10" s="231" t="n">
        <f aca="false">CF9</f>
        <v>0</v>
      </c>
      <c r="CG10" s="231" t="n">
        <f aca="false">CG9</f>
        <v>0</v>
      </c>
      <c r="CH10" s="231" t="n">
        <f aca="false">CH9</f>
        <v>0</v>
      </c>
    </row>
    <row r="11" customFormat="false" ht="15" hidden="false" customHeight="true" outlineLevel="0" collapsed="false">
      <c r="A11" s="2" t="s">
        <v>757</v>
      </c>
      <c r="B11" s="3"/>
      <c r="C11" s="232" t="n">
        <f aca="false">C10</f>
        <v>23906.25</v>
      </c>
      <c r="D11" s="232" t="n">
        <f aca="false">C11+D10</f>
        <v>47812.5</v>
      </c>
      <c r="E11" s="232" t="n">
        <f aca="false">D11+E10</f>
        <v>71718.75</v>
      </c>
      <c r="F11" s="232" t="n">
        <f aca="false">E11+F10</f>
        <v>95625</v>
      </c>
      <c r="G11" s="232" t="n">
        <f aca="false">F11+G10</f>
        <v>119531.25</v>
      </c>
      <c r="H11" s="232" t="n">
        <f aca="false">G11+H10</f>
        <v>143437.5</v>
      </c>
      <c r="I11" s="232" t="n">
        <f aca="false">H11+I10</f>
        <v>167343.75</v>
      </c>
      <c r="J11" s="232" t="n">
        <f aca="false">I11+J10</f>
        <v>191250</v>
      </c>
      <c r="K11" s="232" t="n">
        <f aca="false">J11+K10</f>
        <v>215156.25</v>
      </c>
      <c r="L11" s="232" t="n">
        <f aca="false">K11+L10</f>
        <v>239062.5</v>
      </c>
      <c r="M11" s="232" t="n">
        <f aca="false">L11+M10</f>
        <v>262968.75</v>
      </c>
      <c r="N11" s="232" t="n">
        <f aca="false">M11+N10</f>
        <v>286875</v>
      </c>
      <c r="O11" s="232" t="n">
        <f aca="false">N11+O10</f>
        <v>310781.25</v>
      </c>
      <c r="P11" s="232" t="n">
        <f aca="false">O11+P10</f>
        <v>334687.5</v>
      </c>
      <c r="Q11" s="232" t="n">
        <f aca="false">P11+Q10</f>
        <v>358593.75</v>
      </c>
      <c r="R11" s="232" t="n">
        <f aca="false">Q11+R10</f>
        <v>358593.75</v>
      </c>
      <c r="S11" s="232" t="n">
        <f aca="false">R11+S10</f>
        <v>358593.75</v>
      </c>
      <c r="T11" s="232" t="n">
        <f aca="false">S11+T10</f>
        <v>358593.75</v>
      </c>
      <c r="U11" s="232" t="n">
        <f aca="false">T11+U10</f>
        <v>358593.75</v>
      </c>
      <c r="V11" s="232" t="n">
        <f aca="false">U11+V10</f>
        <v>358593.75</v>
      </c>
      <c r="W11" s="232" t="n">
        <f aca="false">V11+W10</f>
        <v>415968.75</v>
      </c>
      <c r="X11" s="232" t="n">
        <f aca="false">W11+X10</f>
        <v>415968.75</v>
      </c>
      <c r="Y11" s="232" t="n">
        <f aca="false">X11+Y10</f>
        <v>415968.75</v>
      </c>
      <c r="Z11" s="232" t="n">
        <f aca="false">Y11+Z10</f>
        <v>473343.75</v>
      </c>
      <c r="AA11" s="232" t="n">
        <f aca="false">Z11+AA10</f>
        <v>473343.75</v>
      </c>
      <c r="AB11" s="232" t="n">
        <f aca="false">AA11+AB10</f>
        <v>473343.75</v>
      </c>
      <c r="AC11" s="232" t="n">
        <f aca="false">AB11+AC10</f>
        <v>530718.75</v>
      </c>
      <c r="AD11" s="232" t="n">
        <f aca="false">AC11+AD10</f>
        <v>530718.75</v>
      </c>
      <c r="AE11" s="232" t="n">
        <f aca="false">AD11+AE10</f>
        <v>530718.75</v>
      </c>
      <c r="AF11" s="232" t="n">
        <f aca="false">AE11+AF10</f>
        <v>530718.75</v>
      </c>
      <c r="AG11" s="232" t="n">
        <f aca="false">AF11+AG10</f>
        <v>530718.75</v>
      </c>
      <c r="AH11" s="232" t="n">
        <f aca="false">AG11+AH10</f>
        <v>530718.75</v>
      </c>
      <c r="AI11" s="232" t="n">
        <f aca="false">AH11+AI10</f>
        <v>530718.75</v>
      </c>
      <c r="AJ11" s="232" t="n">
        <f aca="false">AI11+AJ10</f>
        <v>530718.75</v>
      </c>
      <c r="AK11" s="232" t="n">
        <f aca="false">AJ11+AK10</f>
        <v>530718.75</v>
      </c>
      <c r="AL11" s="232" t="n">
        <f aca="false">AK11+AL10</f>
        <v>530718.75</v>
      </c>
      <c r="AM11" s="232" t="n">
        <f aca="false">AL11+AM10</f>
        <v>530718.75</v>
      </c>
      <c r="AN11" s="232" t="n">
        <f aca="false">AM11+AN10</f>
        <v>530718.75</v>
      </c>
      <c r="AO11" s="232" t="n">
        <f aca="false">AN11+AO10</f>
        <v>530718.75</v>
      </c>
      <c r="AP11" s="232" t="n">
        <f aca="false">AO11+AP10</f>
        <v>530718.75</v>
      </c>
      <c r="AQ11" s="232" t="n">
        <f aca="false">AP11+AQ10</f>
        <v>530718.75</v>
      </c>
      <c r="AR11" s="232" t="n">
        <f aca="false">AQ11+AR10</f>
        <v>530718.75</v>
      </c>
      <c r="AS11" s="232" t="n">
        <f aca="false">AR11+AS10</f>
        <v>530718.75</v>
      </c>
      <c r="AT11" s="232" t="n">
        <f aca="false">AS11+AT10</f>
        <v>530718.75</v>
      </c>
      <c r="AU11" s="232" t="n">
        <f aca="false">AT11+AU10</f>
        <v>530718.75</v>
      </c>
      <c r="AV11" s="232" t="n">
        <f aca="false">AU11+AV10</f>
        <v>530718.75</v>
      </c>
      <c r="AW11" s="232" t="n">
        <f aca="false">AV11+AW10</f>
        <v>530718.75</v>
      </c>
      <c r="AX11" s="232" t="n">
        <f aca="false">AW11+AX10</f>
        <v>530718.75</v>
      </c>
      <c r="AY11" s="232" t="n">
        <f aca="false">AX11+AY10</f>
        <v>530718.75</v>
      </c>
      <c r="AZ11" s="232" t="n">
        <f aca="false">AY11+AZ10</f>
        <v>530718.75</v>
      </c>
      <c r="BA11" s="232" t="n">
        <f aca="false">AZ11+BA10</f>
        <v>530718.75</v>
      </c>
      <c r="BB11" s="232" t="n">
        <f aca="false">BA11+BB10</f>
        <v>530718.75</v>
      </c>
      <c r="BC11" s="232" t="n">
        <f aca="false">BB11+BC10</f>
        <v>530718.75</v>
      </c>
      <c r="BD11" s="232" t="n">
        <f aca="false">BC11+BD10</f>
        <v>530718.75</v>
      </c>
      <c r="BE11" s="232" t="n">
        <f aca="false">BD11+BE10</f>
        <v>530718.75</v>
      </c>
      <c r="BF11" s="232" t="n">
        <f aca="false">BE11+BF10</f>
        <v>530718.75</v>
      </c>
      <c r="BG11" s="232" t="n">
        <f aca="false">BF11+BG10</f>
        <v>530718.75</v>
      </c>
      <c r="BH11" s="232" t="n">
        <f aca="false">BG11+BH10</f>
        <v>530718.75</v>
      </c>
      <c r="BI11" s="232" t="n">
        <f aca="false">BH11+BI10</f>
        <v>530718.75</v>
      </c>
      <c r="BJ11" s="232" t="n">
        <f aca="false">BI11+BJ10</f>
        <v>530718.75</v>
      </c>
      <c r="BK11" s="232" t="n">
        <f aca="false">BJ11+BK10</f>
        <v>530718.75</v>
      </c>
      <c r="BL11" s="232" t="n">
        <f aca="false">BK11+BL10</f>
        <v>530718.75</v>
      </c>
      <c r="BM11" s="232" t="n">
        <f aca="false">BL11+BM10</f>
        <v>530718.75</v>
      </c>
      <c r="BN11" s="232" t="n">
        <f aca="false">BM11+BN10</f>
        <v>530718.75</v>
      </c>
      <c r="BO11" s="232" t="n">
        <f aca="false">BN11+BO10</f>
        <v>530718.75</v>
      </c>
      <c r="BP11" s="232" t="n">
        <f aca="false">BO11+BP10</f>
        <v>530718.75</v>
      </c>
      <c r="BQ11" s="232" t="n">
        <f aca="false">BP11+BQ10</f>
        <v>530718.75</v>
      </c>
      <c r="BR11" s="232" t="n">
        <f aca="false">BQ11+BR10</f>
        <v>530718.75</v>
      </c>
      <c r="BS11" s="232" t="n">
        <f aca="false">BR11+BS10</f>
        <v>530718.75</v>
      </c>
      <c r="BT11" s="232" t="n">
        <f aca="false">BS11+BT10</f>
        <v>530718.75</v>
      </c>
      <c r="BU11" s="232" t="n">
        <f aca="false">BT11+BU10</f>
        <v>530718.75</v>
      </c>
      <c r="BV11" s="232" t="n">
        <f aca="false">BU11+BV10</f>
        <v>530718.75</v>
      </c>
      <c r="BW11" s="232" t="n">
        <f aca="false">BV11+BW10</f>
        <v>530718.75</v>
      </c>
      <c r="BX11" s="232" t="n">
        <f aca="false">BW11+BX10</f>
        <v>530718.75</v>
      </c>
      <c r="BY11" s="232" t="n">
        <f aca="false">BX11+BY10</f>
        <v>530718.75</v>
      </c>
      <c r="BZ11" s="232" t="n">
        <f aca="false">BY11+BZ10</f>
        <v>530718.75</v>
      </c>
      <c r="CA11" s="232" t="n">
        <f aca="false">BZ11+CA10</f>
        <v>530718.75</v>
      </c>
      <c r="CB11" s="232" t="n">
        <f aca="false">CA11+CB10</f>
        <v>530718.75</v>
      </c>
      <c r="CC11" s="232" t="n">
        <f aca="false">CB11+CC10</f>
        <v>530718.75</v>
      </c>
      <c r="CD11" s="232" t="n">
        <f aca="false">CC11+CD10</f>
        <v>530718.75</v>
      </c>
      <c r="CE11" s="232" t="n">
        <f aca="false">CD11+CE10</f>
        <v>530718.75</v>
      </c>
      <c r="CF11" s="232" t="n">
        <f aca="false">CE11+CF10</f>
        <v>530718.75</v>
      </c>
      <c r="CG11" s="232" t="n">
        <f aca="false">CF11+CG10</f>
        <v>530718.75</v>
      </c>
      <c r="CH11" s="23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755</v>
      </c>
      <c r="B14" s="3"/>
      <c r="C14" s="229" t="n">
        <f aca="false">Model!E248+Model!E249+Model!E250</f>
        <v>0</v>
      </c>
      <c r="D14" s="229" t="n">
        <f aca="false">Model!F248+Model!F249+Model!F250</f>
        <v>0</v>
      </c>
      <c r="E14" s="229" t="n">
        <f aca="false">Model!G248+Model!G249+Model!G250</f>
        <v>0</v>
      </c>
      <c r="F14" s="229" t="n">
        <f aca="false">Model!H248+Model!H249+Model!H250</f>
        <v>0</v>
      </c>
      <c r="G14" s="229" t="n">
        <f aca="false">Model!I248+Model!I249+Model!I250</f>
        <v>0</v>
      </c>
      <c r="H14" s="229" t="n">
        <f aca="false">Model!J248+Model!J249+Model!J250</f>
        <v>0</v>
      </c>
      <c r="I14" s="229" t="n">
        <f aca="false">Model!K248+Model!K249+Model!K250</f>
        <v>0</v>
      </c>
      <c r="J14" s="229" t="n">
        <f aca="false">Model!L248+Model!L249+Model!L250</f>
        <v>0</v>
      </c>
      <c r="K14" s="229" t="n">
        <f aca="false">Model!M248+Model!M249+Model!M250</f>
        <v>0</v>
      </c>
      <c r="L14" s="229" t="n">
        <f aca="false">Model!N248+Model!N249+Model!N250</f>
        <v>0</v>
      </c>
      <c r="M14" s="229" t="n">
        <f aca="false">Model!O248+Model!O249+Model!O250</f>
        <v>3157.89473684211</v>
      </c>
      <c r="N14" s="229" t="n">
        <f aca="false">Model!P248+Model!P249+Model!P250</f>
        <v>3157.89473684211</v>
      </c>
      <c r="O14" s="229" t="n">
        <f aca="false">Model!Q248+Model!Q249+Model!Q250</f>
        <v>3157.89473684211</v>
      </c>
      <c r="P14" s="229" t="n">
        <f aca="false">Model!R248+Model!R249+Model!R250</f>
        <v>3157.89473684211</v>
      </c>
      <c r="Q14" s="229" t="n">
        <f aca="false">Model!S248+Model!S249+Model!S250</f>
        <v>3157.89473684211</v>
      </c>
      <c r="R14" s="229" t="n">
        <f aca="false">Model!T248+Model!T249+Model!T250</f>
        <v>3157.89473684211</v>
      </c>
      <c r="S14" s="229" t="n">
        <f aca="false">Model!U248+Model!U249+Model!U250</f>
        <v>3157.89473684211</v>
      </c>
      <c r="T14" s="229" t="n">
        <f aca="false">Model!V248+Model!V249+Model!V250</f>
        <v>3157.89473684211</v>
      </c>
      <c r="U14" s="229" t="n">
        <f aca="false">Model!W248+Model!W249+Model!W250</f>
        <v>3157.89473684211</v>
      </c>
      <c r="V14" s="229" t="n">
        <f aca="false">Model!X248+Model!X249+Model!X250</f>
        <v>3157.89473684211</v>
      </c>
      <c r="W14" s="229" t="n">
        <f aca="false">Model!Y248+Model!Y249+Model!Y250</f>
        <v>3157.89473684211</v>
      </c>
      <c r="X14" s="229" t="n">
        <f aca="false">Model!Z248+Model!Z249+Model!Z250</f>
        <v>3157.89473684211</v>
      </c>
      <c r="Y14" s="229" t="n">
        <f aca="false">Model!AA248+Model!AA249+Model!AA250</f>
        <v>3157.89473684211</v>
      </c>
      <c r="Z14" s="229" t="n">
        <f aca="false">Model!AB248+Model!AB249+Model!AB250</f>
        <v>3157.89473684211</v>
      </c>
      <c r="AA14" s="229" t="n">
        <f aca="false">Model!AC248+Model!AC249+Model!AC250</f>
        <v>3157.89473684211</v>
      </c>
      <c r="AB14" s="229" t="n">
        <f aca="false">Model!AD248+Model!AD249+Model!AD250</f>
        <v>3157.89473684211</v>
      </c>
      <c r="AC14" s="229" t="n">
        <f aca="false">Model!AE248+Model!AE249+Model!AE250</f>
        <v>3157.89473684211</v>
      </c>
      <c r="AD14" s="229" t="n">
        <f aca="false">Model!AF248+Model!AF249+Model!AF250</f>
        <v>3157.89473684211</v>
      </c>
      <c r="AE14" s="229" t="n">
        <f aca="false">Model!AG248+Model!AG249+Model!AG250</f>
        <v>3157.89473684211</v>
      </c>
      <c r="AF14" s="229" t="n">
        <f aca="false">Model!AH248+Model!AH249+Model!AH250</f>
        <v>0</v>
      </c>
      <c r="AG14" s="229" t="n">
        <f aca="false">Model!AI248+Model!AI249+Model!AI250</f>
        <v>0</v>
      </c>
      <c r="AH14" s="229" t="n">
        <f aca="false">Model!AJ248+Model!AJ249+Model!AJ250</f>
        <v>0</v>
      </c>
      <c r="AI14" s="229" t="n">
        <f aca="false">Model!AK248+Model!AK249+Model!AK250</f>
        <v>0</v>
      </c>
      <c r="AJ14" s="229" t="n">
        <f aca="false">Model!AL248+Model!AL249+Model!AL250</f>
        <v>0</v>
      </c>
      <c r="AK14" s="229" t="n">
        <f aca="false">Model!AM248+Model!AM249+Model!AM250</f>
        <v>0</v>
      </c>
      <c r="AL14" s="229" t="n">
        <f aca="false">Model!AN248+Model!AN249+Model!AN250</f>
        <v>0</v>
      </c>
      <c r="AM14" s="229" t="n">
        <f aca="false">Model!AO248+Model!AO249+Model!AO250</f>
        <v>0</v>
      </c>
      <c r="AN14" s="229" t="n">
        <f aca="false">Model!AP248+Model!AP249+Model!AP250</f>
        <v>0</v>
      </c>
      <c r="AO14" s="229" t="n">
        <f aca="false">Model!AQ248+Model!AQ249+Model!AQ250</f>
        <v>0</v>
      </c>
      <c r="AP14" s="229" t="n">
        <f aca="false">Model!AR248+Model!AR249+Model!AR250</f>
        <v>0</v>
      </c>
      <c r="AQ14" s="229" t="n">
        <f aca="false">Model!AS248+Model!AS249+Model!AS250</f>
        <v>0</v>
      </c>
      <c r="AR14" s="229" t="n">
        <f aca="false">Model!AT248+Model!AT249+Model!AT250</f>
        <v>0</v>
      </c>
      <c r="AS14" s="229" t="n">
        <f aca="false">Model!AU248+Model!AU249+Model!AU250</f>
        <v>0</v>
      </c>
      <c r="AT14" s="229" t="n">
        <f aca="false">Model!AV248+Model!AV249+Model!AV250</f>
        <v>0</v>
      </c>
      <c r="AU14" s="229" t="n">
        <f aca="false">Model!AW248+Model!AW249+Model!AW250</f>
        <v>0</v>
      </c>
      <c r="AV14" s="229" t="n">
        <f aca="false">Model!AX248+Model!AX249+Model!AX250</f>
        <v>0</v>
      </c>
      <c r="AW14" s="229" t="n">
        <f aca="false">Model!AY248+Model!AY249+Model!AY250</f>
        <v>0</v>
      </c>
      <c r="AX14" s="229" t="n">
        <f aca="false">Model!AZ248+Model!AZ249+Model!AZ250</f>
        <v>0</v>
      </c>
      <c r="AY14" s="229" t="n">
        <f aca="false">Model!BA248+Model!BA249+Model!BA250</f>
        <v>0</v>
      </c>
      <c r="AZ14" s="229" t="n">
        <f aca="false">Model!BB248+Model!BB249+Model!BB250</f>
        <v>0</v>
      </c>
      <c r="BA14" s="229" t="n">
        <f aca="false">Model!BC248+Model!BC249+Model!BC250</f>
        <v>0</v>
      </c>
      <c r="BB14" s="229" t="n">
        <f aca="false">Model!BD248+Model!BD249+Model!BD250</f>
        <v>0</v>
      </c>
      <c r="BC14" s="229" t="n">
        <f aca="false">Model!BE248+Model!BE249+Model!BE250</f>
        <v>0</v>
      </c>
      <c r="BD14" s="229" t="n">
        <f aca="false">Model!BF248+Model!BF249+Model!BF250</f>
        <v>0</v>
      </c>
      <c r="BE14" s="229" t="n">
        <f aca="false">Model!BG248+Model!BG249+Model!BG250</f>
        <v>0</v>
      </c>
      <c r="BF14" s="229" t="n">
        <f aca="false">Model!BH248+Model!BH249+Model!BH250</f>
        <v>0</v>
      </c>
      <c r="BG14" s="229" t="n">
        <f aca="false">Model!BI248+Model!BI249+Model!BI250</f>
        <v>0</v>
      </c>
      <c r="BH14" s="229" t="n">
        <f aca="false">Model!BJ248+Model!BJ249+Model!BJ250</f>
        <v>0</v>
      </c>
      <c r="BI14" s="229" t="n">
        <f aca="false">Model!BK248+Model!BK249+Model!BK250</f>
        <v>0</v>
      </c>
      <c r="BJ14" s="229" t="n">
        <f aca="false">Model!BL248+Model!BL249+Model!BL250</f>
        <v>0</v>
      </c>
      <c r="BK14" s="229" t="n">
        <f aca="false">Model!BM248+Model!BM249+Model!BM250</f>
        <v>0</v>
      </c>
      <c r="BL14" s="229" t="n">
        <f aca="false">Model!BN248+Model!BN249+Model!BN250</f>
        <v>0</v>
      </c>
      <c r="BM14" s="229" t="n">
        <f aca="false">Model!BO248+Model!BO249+Model!BO250</f>
        <v>0</v>
      </c>
      <c r="BN14" s="229" t="n">
        <f aca="false">Model!BP248+Model!BP249+Model!BP250</f>
        <v>0</v>
      </c>
      <c r="BO14" s="229" t="n">
        <f aca="false">Model!BQ248+Model!BQ249+Model!BQ250</f>
        <v>0</v>
      </c>
      <c r="BP14" s="229" t="n">
        <f aca="false">Model!BR248+Model!BR249+Model!BR250</f>
        <v>0</v>
      </c>
      <c r="BQ14" s="229" t="n">
        <f aca="false">Model!BS248+Model!BS249+Model!BS250</f>
        <v>0</v>
      </c>
      <c r="BR14" s="229" t="n">
        <f aca="false">Model!BT248+Model!BT249+Model!BT250</f>
        <v>0</v>
      </c>
      <c r="BS14" s="229" t="n">
        <f aca="false">Model!BU248+Model!BU249+Model!BU250</f>
        <v>0</v>
      </c>
      <c r="BT14" s="229" t="n">
        <f aca="false">Model!BV248+Model!BV249+Model!BV250</f>
        <v>0</v>
      </c>
      <c r="BU14" s="229" t="n">
        <f aca="false">Model!BW248+Model!BW249+Model!BW250</f>
        <v>0</v>
      </c>
      <c r="BV14" s="229" t="n">
        <f aca="false">Model!BX248+Model!BX249+Model!BX250</f>
        <v>0</v>
      </c>
      <c r="BW14" s="229" t="n">
        <f aca="false">Model!BY248+Model!BY249+Model!BY250</f>
        <v>0</v>
      </c>
      <c r="BX14" s="229" t="n">
        <f aca="false">Model!BZ248+Model!BZ249+Model!BZ250</f>
        <v>0</v>
      </c>
      <c r="BY14" s="229" t="n">
        <f aca="false">Model!CA248+Model!CA249+Model!CA250</f>
        <v>0</v>
      </c>
      <c r="BZ14" s="229" t="n">
        <f aca="false">Model!CB248+Model!CB249+Model!CB250</f>
        <v>0</v>
      </c>
      <c r="CA14" s="229" t="n">
        <f aca="false">Model!CC248+Model!CC249+Model!CC250</f>
        <v>0</v>
      </c>
      <c r="CB14" s="229" t="n">
        <f aca="false">Model!CD248+Model!CD249+Model!CD250</f>
        <v>0</v>
      </c>
      <c r="CC14" s="229" t="n">
        <f aca="false">Model!CE248+Model!CE249+Model!CE250</f>
        <v>0</v>
      </c>
      <c r="CD14" s="229" t="n">
        <f aca="false">Model!CF248+Model!CF249+Model!CF250</f>
        <v>0</v>
      </c>
      <c r="CE14" s="229" t="n">
        <f aca="false">Model!CG248+Model!CG249+Model!CG250</f>
        <v>0</v>
      </c>
      <c r="CF14" s="229" t="n">
        <f aca="false">Model!CH248+Model!CH249+Model!CH250</f>
        <v>0</v>
      </c>
      <c r="CG14" s="229" t="n">
        <f aca="false">Model!CI248+Model!CI249+Model!CI250</f>
        <v>0</v>
      </c>
      <c r="CH14" s="229" t="n">
        <f aca="false">Model!CJ248+Model!CJ249+Model!CJ250</f>
        <v>0</v>
      </c>
    </row>
    <row r="15" customFormat="false" ht="15" hidden="false" customHeight="true" outlineLevel="0" collapsed="false">
      <c r="A15" s="233" t="s">
        <v>758</v>
      </c>
      <c r="B15" s="3"/>
      <c r="C15" s="234" t="n">
        <f aca="false">IF(AND(Projects!$G$11="Yes",1=Projects!$C$11),-155771,0)</f>
        <v>0</v>
      </c>
      <c r="D15" s="234" t="n">
        <f aca="false">IF(AND(Projects!$G$11="Yes",2=Projects!$C$11),-155771,0)</f>
        <v>0</v>
      </c>
      <c r="E15" s="234" t="n">
        <f aca="false">IF(AND(Projects!$G$11="Yes",3=Projects!$C$11),-155771,0)</f>
        <v>0</v>
      </c>
      <c r="F15" s="234" t="n">
        <f aca="false">IF(AND(Projects!$G$11="Yes",4=Projects!$C$11),-155771,0)</f>
        <v>0</v>
      </c>
      <c r="G15" s="234" t="n">
        <f aca="false">IF(AND(Projects!$G$11="Yes",5=Projects!$C$11),-155771,0)</f>
        <v>0</v>
      </c>
      <c r="H15" s="234" t="n">
        <f aca="false">IF(AND(Projects!$G$11="Yes",6=Projects!$C$11),-155771,0)</f>
        <v>0</v>
      </c>
      <c r="I15" s="234" t="n">
        <f aca="false">IF(AND(Projects!$G$11="Yes",7=Projects!$C$11),-155771,0)</f>
        <v>0</v>
      </c>
      <c r="J15" s="234" t="n">
        <f aca="false">IF(AND(Projects!$G$11="Yes",8=Projects!$C$11),-155771,0)</f>
        <v>0</v>
      </c>
      <c r="K15" s="234" t="n">
        <f aca="false">IF(AND(Projects!$G$11="Yes",9=Projects!$C$11),-155771,0)</f>
        <v>0</v>
      </c>
      <c r="L15" s="234" t="n">
        <f aca="false">IF(AND(Projects!$G$11="Yes",10=Projects!$C$11),-155771,0)</f>
        <v>0</v>
      </c>
      <c r="M15" s="234" t="n">
        <f aca="false">IF(AND(Projects!$G$11="Yes",11=Projects!$C$11),-155771,0)</f>
        <v>-155771</v>
      </c>
      <c r="N15" s="234" t="n">
        <f aca="false">IF(AND(Projects!$G$11="Yes",12=Projects!$C$11),-155771,0)</f>
        <v>0</v>
      </c>
      <c r="O15" s="234" t="n">
        <f aca="false">IF(AND(Projects!$G$11="Yes",13=Projects!$C$11),-155771,0)</f>
        <v>0</v>
      </c>
      <c r="P15" s="234" t="n">
        <f aca="false">IF(AND(Projects!$G$11="Yes",14=Projects!$C$11),-155771,0)</f>
        <v>0</v>
      </c>
      <c r="Q15" s="234" t="n">
        <f aca="false">IF(AND(Projects!$G$11="Yes",15=Projects!$C$11),-155771,0)</f>
        <v>0</v>
      </c>
      <c r="R15" s="234" t="n">
        <f aca="false">IF(AND(Projects!$G$11="Yes",16=Projects!$C$11),-155771,0)</f>
        <v>0</v>
      </c>
      <c r="S15" s="234" t="n">
        <f aca="false">IF(AND(Projects!$G$11="Yes",17=Projects!$C$11),-155771,0)</f>
        <v>0</v>
      </c>
      <c r="T15" s="234" t="n">
        <f aca="false">IF(AND(Projects!$G$11="Yes",18=Projects!$C$11),-155771,0)</f>
        <v>0</v>
      </c>
      <c r="U15" s="234" t="n">
        <f aca="false">IF(AND(Projects!$G$11="Yes",19=Projects!$C$11),-155771,0)</f>
        <v>0</v>
      </c>
      <c r="V15" s="234" t="n">
        <f aca="false">IF(AND(Projects!$G$11="Yes",20=Projects!$C$11),-155771,0)</f>
        <v>0</v>
      </c>
      <c r="W15" s="234" t="n">
        <f aca="false">IF(AND(Projects!$G$11="Yes",21=Projects!$C$11),-155771,0)</f>
        <v>0</v>
      </c>
      <c r="X15" s="234" t="n">
        <f aca="false">IF(AND(Projects!$G$11="Yes",22=Projects!$C$11),-155771,0)</f>
        <v>0</v>
      </c>
      <c r="Y15" s="234" t="n">
        <f aca="false">IF(AND(Projects!$G$11="Yes",23=Projects!$C$11),-155771,0)</f>
        <v>0</v>
      </c>
      <c r="Z15" s="234" t="n">
        <f aca="false">IF(AND(Projects!$G$11="Yes",24=Projects!$C$11),-155771,0)</f>
        <v>0</v>
      </c>
      <c r="AA15" s="234" t="n">
        <f aca="false">IF(AND(Projects!$G$11="Yes",25=Projects!$C$11),-155771,0)</f>
        <v>0</v>
      </c>
      <c r="AB15" s="234" t="n">
        <f aca="false">IF(AND(Projects!$G$11="Yes",26=Projects!$C$11),-155771,0)</f>
        <v>0</v>
      </c>
      <c r="AC15" s="234" t="n">
        <f aca="false">IF(AND(Projects!$G$11="Yes",27=Projects!$C$11),-155771,0)</f>
        <v>0</v>
      </c>
      <c r="AD15" s="234" t="n">
        <f aca="false">IF(AND(Projects!$G$11="Yes",28=Projects!$C$11),-155771,0)</f>
        <v>0</v>
      </c>
      <c r="AE15" s="234" t="n">
        <f aca="false">IF(AND(Projects!$G$11="Yes",29=Projects!$C$11),-155771,0)</f>
        <v>0</v>
      </c>
      <c r="AF15" s="234" t="n">
        <f aca="false">IF(AND(Projects!$G$11="Yes",30=Projects!$C$11),-155771,0)</f>
        <v>0</v>
      </c>
      <c r="AG15" s="234" t="n">
        <f aca="false">IF(AND(Projects!$G$11="Yes",31=Projects!$C$11),-155771,0)</f>
        <v>0</v>
      </c>
      <c r="AH15" s="234" t="n">
        <f aca="false">IF(AND(Projects!$G$11="Yes",32=Projects!$C$11),-155771,0)</f>
        <v>0</v>
      </c>
      <c r="AI15" s="234" t="n">
        <f aca="false">IF(AND(Projects!$G$11="Yes",33=Projects!$C$11),-155771,0)</f>
        <v>0</v>
      </c>
      <c r="AJ15" s="234" t="n">
        <f aca="false">IF(AND(Projects!$G$11="Yes",34=Projects!$C$11),-155771,0)</f>
        <v>0</v>
      </c>
      <c r="AK15" s="234" t="n">
        <f aca="false">IF(AND(Projects!$G$11="Yes",35=Projects!$C$11),-155771,0)</f>
        <v>0</v>
      </c>
      <c r="AL15" s="234" t="n">
        <f aca="false">IF(AND(Projects!$G$11="Yes",36=Projects!$C$11),-155771,0)</f>
        <v>0</v>
      </c>
      <c r="AM15" s="234" t="n">
        <f aca="false">IF(AND(Projects!$G$11="Yes",37=Projects!$C$11),-155771,0)</f>
        <v>0</v>
      </c>
      <c r="AN15" s="234" t="n">
        <f aca="false">IF(AND(Projects!$G$11="Yes",38=Projects!$C$11),-155771,0)</f>
        <v>0</v>
      </c>
      <c r="AO15" s="234" t="n">
        <f aca="false">IF(AND(Projects!$G$11="Yes",39=Projects!$C$11),-155771,0)</f>
        <v>0</v>
      </c>
      <c r="AP15" s="234" t="n">
        <f aca="false">IF(AND(Projects!$G$11="Yes",40=Projects!$C$11),-155771,0)</f>
        <v>0</v>
      </c>
      <c r="AQ15" s="234" t="n">
        <f aca="false">IF(AND(Projects!$G$11="Yes",41=Projects!$C$11),-155771,0)</f>
        <v>0</v>
      </c>
      <c r="AR15" s="234" t="n">
        <f aca="false">IF(AND(Projects!$G$11="Yes",42=Projects!$C$11),-155771,0)</f>
        <v>0</v>
      </c>
      <c r="AS15" s="234" t="n">
        <f aca="false">IF(AND(Projects!$G$11="Yes",43=Projects!$C$11),-155771,0)</f>
        <v>0</v>
      </c>
      <c r="AT15" s="234" t="n">
        <f aca="false">IF(AND(Projects!$G$11="Yes",44=Projects!$C$11),-155771,0)</f>
        <v>0</v>
      </c>
      <c r="AU15" s="234" t="n">
        <f aca="false">IF(AND(Projects!$G$11="Yes",45=Projects!$C$11),-155771,0)</f>
        <v>0</v>
      </c>
      <c r="AV15" s="234" t="n">
        <f aca="false">IF(AND(Projects!$G$11="Yes",46=Projects!$C$11),-155771,0)</f>
        <v>0</v>
      </c>
      <c r="AW15" s="234" t="n">
        <f aca="false">IF(AND(Projects!$G$11="Yes",47=Projects!$C$11),-155771,0)</f>
        <v>0</v>
      </c>
      <c r="AX15" s="234" t="n">
        <f aca="false">IF(AND(Projects!$G$11="Yes",48=Projects!$C$11),-155771,0)</f>
        <v>0</v>
      </c>
      <c r="AY15" s="234" t="n">
        <f aca="false">IF(AND(Projects!$G$11="Yes",49=Projects!$C$11),-155771,0)</f>
        <v>0</v>
      </c>
      <c r="AZ15" s="234" t="n">
        <f aca="false">IF(AND(Projects!$G$11="Yes",50=Projects!$C$11),-155771,0)</f>
        <v>0</v>
      </c>
      <c r="BA15" s="234" t="n">
        <f aca="false">IF(AND(Projects!$G$11="Yes",51=Projects!$C$11),-155771,0)</f>
        <v>0</v>
      </c>
      <c r="BB15" s="234" t="n">
        <f aca="false">IF(AND(Projects!$G$11="Yes",52=Projects!$C$11),-155771,0)</f>
        <v>0</v>
      </c>
      <c r="BC15" s="234" t="n">
        <f aca="false">IF(AND(Projects!$G$11="Yes",53=Projects!$C$11),-155771,0)</f>
        <v>0</v>
      </c>
      <c r="BD15" s="234" t="n">
        <f aca="false">IF(AND(Projects!$G$11="Yes",54=Projects!$C$11),-155771,0)</f>
        <v>0</v>
      </c>
      <c r="BE15" s="234" t="n">
        <f aca="false">IF(AND(Projects!$G$11="Yes",55=Projects!$C$11),-155771,0)</f>
        <v>0</v>
      </c>
      <c r="BF15" s="234" t="n">
        <f aca="false">IF(AND(Projects!$G$11="Yes",56=Projects!$C$11),-155771,0)</f>
        <v>0</v>
      </c>
      <c r="BG15" s="234" t="n">
        <f aca="false">IF(AND(Projects!$G$11="Yes",57=Projects!$C$11),-155771,0)</f>
        <v>0</v>
      </c>
      <c r="BH15" s="234" t="n">
        <f aca="false">IF(AND(Projects!$G$11="Yes",58=Projects!$C$11),-155771,0)</f>
        <v>0</v>
      </c>
      <c r="BI15" s="234" t="n">
        <f aca="false">IF(AND(Projects!$G$11="Yes",59=Projects!$C$11),-155771,0)</f>
        <v>0</v>
      </c>
      <c r="BJ15" s="234" t="n">
        <f aca="false">IF(AND(Projects!$G$11="Yes",60=Projects!$C$11),-155771,0)</f>
        <v>0</v>
      </c>
      <c r="BK15" s="234" t="n">
        <f aca="false">IF(AND(Projects!$G$11="Yes",61=Projects!$C$11),-155771,0)</f>
        <v>0</v>
      </c>
      <c r="BL15" s="234" t="n">
        <f aca="false">IF(AND(Projects!$G$11="Yes",62=Projects!$C$11),-155771,0)</f>
        <v>0</v>
      </c>
      <c r="BM15" s="234" t="n">
        <f aca="false">IF(AND(Projects!$G$11="Yes",63=Projects!$C$11),-155771,0)</f>
        <v>0</v>
      </c>
      <c r="BN15" s="234" t="n">
        <f aca="false">IF(AND(Projects!$G$11="Yes",64=Projects!$C$11),-155771,0)</f>
        <v>0</v>
      </c>
      <c r="BO15" s="234" t="n">
        <f aca="false">IF(AND(Projects!$G$11="Yes",65=Projects!$C$11),-155771,0)</f>
        <v>0</v>
      </c>
      <c r="BP15" s="234" t="n">
        <f aca="false">IF(AND(Projects!$G$11="Yes",66=Projects!$C$11),-155771,0)</f>
        <v>0</v>
      </c>
      <c r="BQ15" s="234" t="n">
        <f aca="false">IF(AND(Projects!$G$11="Yes",67=Projects!$C$11),-155771,0)</f>
        <v>0</v>
      </c>
      <c r="BR15" s="234" t="n">
        <f aca="false">IF(AND(Projects!$G$11="Yes",68=Projects!$C$11),-155771,0)</f>
        <v>0</v>
      </c>
      <c r="BS15" s="234" t="n">
        <f aca="false">IF(AND(Projects!$G$11="Yes",69=Projects!$C$11),-155771,0)</f>
        <v>0</v>
      </c>
      <c r="BT15" s="234" t="n">
        <f aca="false">IF(AND(Projects!$G$11="Yes",70=Projects!$C$11),-155771,0)</f>
        <v>0</v>
      </c>
      <c r="BU15" s="234" t="n">
        <f aca="false">IF(AND(Projects!$G$11="Yes",71=Projects!$C$11),-155771,0)</f>
        <v>0</v>
      </c>
      <c r="BV15" s="234" t="n">
        <f aca="false">IF(AND(Projects!$G$11="Yes",72=Projects!$C$11),-155771,0)</f>
        <v>0</v>
      </c>
      <c r="BW15" s="234" t="n">
        <f aca="false">IF(AND(Projects!$G$11="Yes",73=Projects!$C$11),-155771,0)</f>
        <v>0</v>
      </c>
      <c r="BX15" s="234" t="n">
        <f aca="false">IF(AND(Projects!$G$11="Yes",74=Projects!$C$11),-155771,0)</f>
        <v>0</v>
      </c>
      <c r="BY15" s="234" t="n">
        <f aca="false">IF(AND(Projects!$G$11="Yes",75=Projects!$C$11),-155771,0)</f>
        <v>0</v>
      </c>
      <c r="BZ15" s="234" t="n">
        <f aca="false">IF(AND(Projects!$G$11="Yes",76=Projects!$C$11),-155771,0)</f>
        <v>0</v>
      </c>
      <c r="CA15" s="234" t="n">
        <f aca="false">IF(AND(Projects!$G$11="Yes",77=Projects!$C$11),-155771,0)</f>
        <v>0</v>
      </c>
      <c r="CB15" s="234" t="n">
        <f aca="false">IF(AND(Projects!$G$11="Yes",78=Projects!$C$11),-155771,0)</f>
        <v>0</v>
      </c>
      <c r="CC15" s="234" t="n">
        <f aca="false">IF(AND(Projects!$G$11="Yes",79=Projects!$C$11),-155771,0)</f>
        <v>0</v>
      </c>
      <c r="CD15" s="234" t="n">
        <f aca="false">IF(AND(Projects!$G$11="Yes",80=Projects!$C$11),-155771,0)</f>
        <v>0</v>
      </c>
      <c r="CE15" s="234" t="n">
        <f aca="false">IF(AND(Projects!$G$11="Yes",81=Projects!$C$11),-155771,0)</f>
        <v>0</v>
      </c>
      <c r="CF15" s="234" t="n">
        <f aca="false">IF(AND(Projects!$G$11="Yes",82=Projects!$C$11),-155771,0)</f>
        <v>0</v>
      </c>
      <c r="CG15" s="234" t="n">
        <f aca="false">IF(AND(Projects!$G$11="Yes",83=Projects!$C$11),-155771,0)</f>
        <v>0</v>
      </c>
      <c r="CH15" s="234" t="n">
        <f aca="false">IF(AND(Projects!$G$11="Yes",84=Projects!$C$11),-155771,0)</f>
        <v>0</v>
      </c>
    </row>
    <row r="16" customFormat="false" ht="15" hidden="false" customHeight="true" outlineLevel="0" collapsed="false">
      <c r="A16" s="230" t="s">
        <v>756</v>
      </c>
      <c r="B16" s="230"/>
      <c r="C16" s="231" t="n">
        <f aca="false">C14+C15</f>
        <v>0</v>
      </c>
      <c r="D16" s="231" t="n">
        <f aca="false">D14+D15</f>
        <v>0</v>
      </c>
      <c r="E16" s="231" t="n">
        <f aca="false">E14+E15</f>
        <v>0</v>
      </c>
      <c r="F16" s="231" t="n">
        <f aca="false">F14+F15</f>
        <v>0</v>
      </c>
      <c r="G16" s="231" t="n">
        <f aca="false">G14+G15</f>
        <v>0</v>
      </c>
      <c r="H16" s="231" t="n">
        <f aca="false">H14+H15</f>
        <v>0</v>
      </c>
      <c r="I16" s="231" t="n">
        <f aca="false">I14+I15</f>
        <v>0</v>
      </c>
      <c r="J16" s="231" t="n">
        <f aca="false">J14+J15</f>
        <v>0</v>
      </c>
      <c r="K16" s="231" t="n">
        <f aca="false">K14+K15</f>
        <v>0</v>
      </c>
      <c r="L16" s="231" t="n">
        <f aca="false">L14+L15</f>
        <v>0</v>
      </c>
      <c r="M16" s="231" t="n">
        <f aca="false">M14+M15</f>
        <v>-152613.105263158</v>
      </c>
      <c r="N16" s="231" t="n">
        <f aca="false">N14+N15</f>
        <v>3157.89473684211</v>
      </c>
      <c r="O16" s="231" t="n">
        <f aca="false">O14+O15</f>
        <v>3157.89473684211</v>
      </c>
      <c r="P16" s="231" t="n">
        <f aca="false">P14+P15</f>
        <v>3157.89473684211</v>
      </c>
      <c r="Q16" s="231" t="n">
        <f aca="false">Q14+Q15</f>
        <v>3157.89473684211</v>
      </c>
      <c r="R16" s="231" t="n">
        <f aca="false">R14+R15</f>
        <v>3157.89473684211</v>
      </c>
      <c r="S16" s="231" t="n">
        <f aca="false">S14+S15</f>
        <v>3157.89473684211</v>
      </c>
      <c r="T16" s="231" t="n">
        <f aca="false">T14+T15</f>
        <v>3157.89473684211</v>
      </c>
      <c r="U16" s="231" t="n">
        <f aca="false">U14+U15</f>
        <v>3157.89473684211</v>
      </c>
      <c r="V16" s="231" t="n">
        <f aca="false">V14+V15</f>
        <v>3157.89473684211</v>
      </c>
      <c r="W16" s="231" t="n">
        <f aca="false">W14+W15</f>
        <v>3157.89473684211</v>
      </c>
      <c r="X16" s="231" t="n">
        <f aca="false">X14+X15</f>
        <v>3157.89473684211</v>
      </c>
      <c r="Y16" s="231" t="n">
        <f aca="false">Y14+Y15</f>
        <v>3157.89473684211</v>
      </c>
      <c r="Z16" s="231" t="n">
        <f aca="false">Z14+Z15</f>
        <v>3157.89473684211</v>
      </c>
      <c r="AA16" s="231" t="n">
        <f aca="false">AA14+AA15</f>
        <v>3157.89473684211</v>
      </c>
      <c r="AB16" s="231" t="n">
        <f aca="false">AB14+AB15</f>
        <v>3157.89473684211</v>
      </c>
      <c r="AC16" s="231" t="n">
        <f aca="false">AC14+AC15</f>
        <v>3157.89473684211</v>
      </c>
      <c r="AD16" s="231" t="n">
        <f aca="false">AD14+AD15</f>
        <v>3157.89473684211</v>
      </c>
      <c r="AE16" s="231" t="n">
        <f aca="false">AE14+AE15</f>
        <v>3157.89473684211</v>
      </c>
      <c r="AF16" s="231" t="n">
        <f aca="false">AF14+AF15</f>
        <v>0</v>
      </c>
      <c r="AG16" s="231" t="n">
        <f aca="false">AG14+AG15</f>
        <v>0</v>
      </c>
      <c r="AH16" s="231" t="n">
        <f aca="false">AH14+AH15</f>
        <v>0</v>
      </c>
      <c r="AI16" s="231" t="n">
        <f aca="false">AI14+AI15</f>
        <v>0</v>
      </c>
      <c r="AJ16" s="231" t="n">
        <f aca="false">AJ14+AJ15</f>
        <v>0</v>
      </c>
      <c r="AK16" s="231" t="n">
        <f aca="false">AK14+AK15</f>
        <v>0</v>
      </c>
      <c r="AL16" s="231" t="n">
        <f aca="false">AL14+AL15</f>
        <v>0</v>
      </c>
      <c r="AM16" s="231" t="n">
        <f aca="false">AM14+AM15</f>
        <v>0</v>
      </c>
      <c r="AN16" s="231" t="n">
        <f aca="false">AN14+AN15</f>
        <v>0</v>
      </c>
      <c r="AO16" s="231" t="n">
        <f aca="false">AO14+AO15</f>
        <v>0</v>
      </c>
      <c r="AP16" s="231" t="n">
        <f aca="false">AP14+AP15</f>
        <v>0</v>
      </c>
      <c r="AQ16" s="231" t="n">
        <f aca="false">AQ14+AQ15</f>
        <v>0</v>
      </c>
      <c r="AR16" s="231" t="n">
        <f aca="false">AR14+AR15</f>
        <v>0</v>
      </c>
      <c r="AS16" s="231" t="n">
        <f aca="false">AS14+AS15</f>
        <v>0</v>
      </c>
      <c r="AT16" s="231" t="n">
        <f aca="false">AT14+AT15</f>
        <v>0</v>
      </c>
      <c r="AU16" s="231" t="n">
        <f aca="false">AU14+AU15</f>
        <v>0</v>
      </c>
      <c r="AV16" s="231" t="n">
        <f aca="false">AV14+AV15</f>
        <v>0</v>
      </c>
      <c r="AW16" s="231" t="n">
        <f aca="false">AW14+AW15</f>
        <v>0</v>
      </c>
      <c r="AX16" s="231" t="n">
        <f aca="false">AX14+AX15</f>
        <v>0</v>
      </c>
      <c r="AY16" s="231" t="n">
        <f aca="false">AY14+AY15</f>
        <v>0</v>
      </c>
      <c r="AZ16" s="231" t="n">
        <f aca="false">AZ14+AZ15</f>
        <v>0</v>
      </c>
      <c r="BA16" s="231" t="n">
        <f aca="false">BA14+BA15</f>
        <v>0</v>
      </c>
      <c r="BB16" s="231" t="n">
        <f aca="false">BB14+BB15</f>
        <v>0</v>
      </c>
      <c r="BC16" s="231" t="n">
        <f aca="false">BC14+BC15</f>
        <v>0</v>
      </c>
      <c r="BD16" s="231" t="n">
        <f aca="false">BD14+BD15</f>
        <v>0</v>
      </c>
      <c r="BE16" s="231" t="n">
        <f aca="false">BE14+BE15</f>
        <v>0</v>
      </c>
      <c r="BF16" s="231" t="n">
        <f aca="false">BF14+BF15</f>
        <v>0</v>
      </c>
      <c r="BG16" s="231" t="n">
        <f aca="false">BG14+BG15</f>
        <v>0</v>
      </c>
      <c r="BH16" s="231" t="n">
        <f aca="false">BH14+BH15</f>
        <v>0</v>
      </c>
      <c r="BI16" s="231" t="n">
        <f aca="false">BI14+BI15</f>
        <v>0</v>
      </c>
      <c r="BJ16" s="231" t="n">
        <f aca="false">BJ14+BJ15</f>
        <v>0</v>
      </c>
      <c r="BK16" s="231" t="n">
        <f aca="false">BK14+BK15</f>
        <v>0</v>
      </c>
      <c r="BL16" s="231" t="n">
        <f aca="false">BL14+BL15</f>
        <v>0</v>
      </c>
      <c r="BM16" s="231" t="n">
        <f aca="false">BM14+BM15</f>
        <v>0</v>
      </c>
      <c r="BN16" s="231" t="n">
        <f aca="false">BN14+BN15</f>
        <v>0</v>
      </c>
      <c r="BO16" s="231" t="n">
        <f aca="false">BO14+BO15</f>
        <v>0</v>
      </c>
      <c r="BP16" s="231" t="n">
        <f aca="false">BP14+BP15</f>
        <v>0</v>
      </c>
      <c r="BQ16" s="231" t="n">
        <f aca="false">BQ14+BQ15</f>
        <v>0</v>
      </c>
      <c r="BR16" s="231" t="n">
        <f aca="false">BR14+BR15</f>
        <v>0</v>
      </c>
      <c r="BS16" s="231" t="n">
        <f aca="false">BS14+BS15</f>
        <v>0</v>
      </c>
      <c r="BT16" s="231" t="n">
        <f aca="false">BT14+BT15</f>
        <v>0</v>
      </c>
      <c r="BU16" s="231" t="n">
        <f aca="false">BU14+BU15</f>
        <v>0</v>
      </c>
      <c r="BV16" s="231" t="n">
        <f aca="false">BV14+BV15</f>
        <v>0</v>
      </c>
      <c r="BW16" s="231" t="n">
        <f aca="false">BW14+BW15</f>
        <v>0</v>
      </c>
      <c r="BX16" s="231" t="n">
        <f aca="false">BX14+BX15</f>
        <v>0</v>
      </c>
      <c r="BY16" s="231" t="n">
        <f aca="false">BY14+BY15</f>
        <v>0</v>
      </c>
      <c r="BZ16" s="231" t="n">
        <f aca="false">BZ14+BZ15</f>
        <v>0</v>
      </c>
      <c r="CA16" s="231" t="n">
        <f aca="false">CA14+CA15</f>
        <v>0</v>
      </c>
      <c r="CB16" s="231" t="n">
        <f aca="false">CB14+CB15</f>
        <v>0</v>
      </c>
      <c r="CC16" s="231" t="n">
        <f aca="false">CC14+CC15</f>
        <v>0</v>
      </c>
      <c r="CD16" s="231" t="n">
        <f aca="false">CD14+CD15</f>
        <v>0</v>
      </c>
      <c r="CE16" s="231" t="n">
        <f aca="false">CE14+CE15</f>
        <v>0</v>
      </c>
      <c r="CF16" s="231" t="n">
        <f aca="false">CF14+CF15</f>
        <v>0</v>
      </c>
      <c r="CG16" s="231" t="n">
        <f aca="false">CG14+CG15</f>
        <v>0</v>
      </c>
      <c r="CH16" s="231" t="n">
        <f aca="false">CH14+CH15</f>
        <v>0</v>
      </c>
    </row>
    <row r="17" customFormat="false" ht="15" hidden="false" customHeight="true" outlineLevel="0" collapsed="false">
      <c r="A17" s="2" t="s">
        <v>757</v>
      </c>
      <c r="B17" s="3"/>
      <c r="C17" s="232" t="n">
        <f aca="false">C16</f>
        <v>0</v>
      </c>
      <c r="D17" s="232" t="n">
        <f aca="false">C17+D16</f>
        <v>0</v>
      </c>
      <c r="E17" s="232" t="n">
        <f aca="false">D17+E16</f>
        <v>0</v>
      </c>
      <c r="F17" s="232" t="n">
        <f aca="false">E17+F16</f>
        <v>0</v>
      </c>
      <c r="G17" s="232" t="n">
        <f aca="false">F17+G16</f>
        <v>0</v>
      </c>
      <c r="H17" s="232" t="n">
        <f aca="false">G17+H16</f>
        <v>0</v>
      </c>
      <c r="I17" s="232" t="n">
        <f aca="false">H17+I16</f>
        <v>0</v>
      </c>
      <c r="J17" s="232" t="n">
        <f aca="false">I17+J16</f>
        <v>0</v>
      </c>
      <c r="K17" s="232" t="n">
        <f aca="false">J17+K16</f>
        <v>0</v>
      </c>
      <c r="L17" s="232" t="n">
        <f aca="false">K17+L16</f>
        <v>0</v>
      </c>
      <c r="M17" s="232" t="n">
        <f aca="false">L17+M16</f>
        <v>-152613.105263158</v>
      </c>
      <c r="N17" s="232" t="n">
        <f aca="false">M17+N16</f>
        <v>-149455.210526316</v>
      </c>
      <c r="O17" s="232" t="n">
        <f aca="false">N17+O16</f>
        <v>-146297.315789474</v>
      </c>
      <c r="P17" s="232" t="n">
        <f aca="false">O17+P16</f>
        <v>-143139.421052632</v>
      </c>
      <c r="Q17" s="232" t="n">
        <f aca="false">P17+Q16</f>
        <v>-139981.526315789</v>
      </c>
      <c r="R17" s="232" t="n">
        <f aca="false">Q17+R16</f>
        <v>-136823.631578947</v>
      </c>
      <c r="S17" s="232" t="n">
        <f aca="false">R17+S16</f>
        <v>-133665.736842105</v>
      </c>
      <c r="T17" s="232" t="n">
        <f aca="false">S17+T16</f>
        <v>-130507.842105263</v>
      </c>
      <c r="U17" s="232" t="n">
        <f aca="false">T17+U16</f>
        <v>-127349.947368421</v>
      </c>
      <c r="V17" s="232" t="n">
        <f aca="false">U17+V16</f>
        <v>-124192.052631579</v>
      </c>
      <c r="W17" s="232" t="n">
        <f aca="false">V17+W16</f>
        <v>-121034.157894737</v>
      </c>
      <c r="X17" s="232" t="n">
        <f aca="false">W17+X16</f>
        <v>-117876.263157895</v>
      </c>
      <c r="Y17" s="232" t="n">
        <f aca="false">X17+Y16</f>
        <v>-114718.368421053</v>
      </c>
      <c r="Z17" s="232" t="n">
        <f aca="false">Y17+Z16</f>
        <v>-111560.473684211</v>
      </c>
      <c r="AA17" s="232" t="n">
        <f aca="false">Z17+AA16</f>
        <v>-108402.578947368</v>
      </c>
      <c r="AB17" s="232" t="n">
        <f aca="false">AA17+AB16</f>
        <v>-105244.684210526</v>
      </c>
      <c r="AC17" s="232" t="n">
        <f aca="false">AB17+AC16</f>
        <v>-102086.789473684</v>
      </c>
      <c r="AD17" s="232" t="n">
        <f aca="false">AC17+AD16</f>
        <v>-98928.8947368421</v>
      </c>
      <c r="AE17" s="232" t="n">
        <f aca="false">AD17+AE16</f>
        <v>-95771</v>
      </c>
      <c r="AF17" s="232" t="n">
        <f aca="false">AE17+AF16</f>
        <v>-95771</v>
      </c>
      <c r="AG17" s="232" t="n">
        <f aca="false">AF17+AG16</f>
        <v>-95771</v>
      </c>
      <c r="AH17" s="232" t="n">
        <f aca="false">AG17+AH16</f>
        <v>-95771</v>
      </c>
      <c r="AI17" s="232" t="n">
        <f aca="false">AH17+AI16</f>
        <v>-95771</v>
      </c>
      <c r="AJ17" s="232" t="n">
        <f aca="false">AI17+AJ16</f>
        <v>-95771</v>
      </c>
      <c r="AK17" s="232" t="n">
        <f aca="false">AJ17+AK16</f>
        <v>-95771</v>
      </c>
      <c r="AL17" s="232" t="n">
        <f aca="false">AK17+AL16</f>
        <v>-95771</v>
      </c>
      <c r="AM17" s="232" t="n">
        <f aca="false">AL17+AM16</f>
        <v>-95771</v>
      </c>
      <c r="AN17" s="232" t="n">
        <f aca="false">AM17+AN16</f>
        <v>-95771</v>
      </c>
      <c r="AO17" s="232" t="n">
        <f aca="false">AN17+AO16</f>
        <v>-95771</v>
      </c>
      <c r="AP17" s="232" t="n">
        <f aca="false">AO17+AP16</f>
        <v>-95771</v>
      </c>
      <c r="AQ17" s="232" t="n">
        <f aca="false">AP17+AQ16</f>
        <v>-95771</v>
      </c>
      <c r="AR17" s="232" t="n">
        <f aca="false">AQ17+AR16</f>
        <v>-95771</v>
      </c>
      <c r="AS17" s="232" t="n">
        <f aca="false">AR17+AS16</f>
        <v>-95771</v>
      </c>
      <c r="AT17" s="232" t="n">
        <f aca="false">AS17+AT16</f>
        <v>-95771</v>
      </c>
      <c r="AU17" s="232" t="n">
        <f aca="false">AT17+AU16</f>
        <v>-95771</v>
      </c>
      <c r="AV17" s="232" t="n">
        <f aca="false">AU17+AV16</f>
        <v>-95771</v>
      </c>
      <c r="AW17" s="232" t="n">
        <f aca="false">AV17+AW16</f>
        <v>-95771</v>
      </c>
      <c r="AX17" s="232" t="n">
        <f aca="false">AW17+AX16</f>
        <v>-95771</v>
      </c>
      <c r="AY17" s="232" t="n">
        <f aca="false">AX17+AY16</f>
        <v>-95771</v>
      </c>
      <c r="AZ17" s="232" t="n">
        <f aca="false">AY17+AZ16</f>
        <v>-95771</v>
      </c>
      <c r="BA17" s="232" t="n">
        <f aca="false">AZ17+BA16</f>
        <v>-95771</v>
      </c>
      <c r="BB17" s="232" t="n">
        <f aca="false">BA17+BB16</f>
        <v>-95771</v>
      </c>
      <c r="BC17" s="232" t="n">
        <f aca="false">BB17+BC16</f>
        <v>-95771</v>
      </c>
      <c r="BD17" s="232" t="n">
        <f aca="false">BC17+BD16</f>
        <v>-95771</v>
      </c>
      <c r="BE17" s="232" t="n">
        <f aca="false">BD17+BE16</f>
        <v>-95771</v>
      </c>
      <c r="BF17" s="232" t="n">
        <f aca="false">BE17+BF16</f>
        <v>-95771</v>
      </c>
      <c r="BG17" s="232" t="n">
        <f aca="false">BF17+BG16</f>
        <v>-95771</v>
      </c>
      <c r="BH17" s="232" t="n">
        <f aca="false">BG17+BH16</f>
        <v>-95771</v>
      </c>
      <c r="BI17" s="232" t="n">
        <f aca="false">BH17+BI16</f>
        <v>-95771</v>
      </c>
      <c r="BJ17" s="232" t="n">
        <f aca="false">BI17+BJ16</f>
        <v>-95771</v>
      </c>
      <c r="BK17" s="232" t="n">
        <f aca="false">BJ17+BK16</f>
        <v>-95771</v>
      </c>
      <c r="BL17" s="232" t="n">
        <f aca="false">BK17+BL16</f>
        <v>-95771</v>
      </c>
      <c r="BM17" s="232" t="n">
        <f aca="false">BL17+BM16</f>
        <v>-95771</v>
      </c>
      <c r="BN17" s="232" t="n">
        <f aca="false">BM17+BN16</f>
        <v>-95771</v>
      </c>
      <c r="BO17" s="232" t="n">
        <f aca="false">BN17+BO16</f>
        <v>-95771</v>
      </c>
      <c r="BP17" s="232" t="n">
        <f aca="false">BO17+BP16</f>
        <v>-95771</v>
      </c>
      <c r="BQ17" s="232" t="n">
        <f aca="false">BP17+BQ16</f>
        <v>-95771</v>
      </c>
      <c r="BR17" s="232" t="n">
        <f aca="false">BQ17+BR16</f>
        <v>-95771</v>
      </c>
      <c r="BS17" s="232" t="n">
        <f aca="false">BR17+BS16</f>
        <v>-95771</v>
      </c>
      <c r="BT17" s="232" t="n">
        <f aca="false">BS17+BT16</f>
        <v>-95771</v>
      </c>
      <c r="BU17" s="232" t="n">
        <f aca="false">BT17+BU16</f>
        <v>-95771</v>
      </c>
      <c r="BV17" s="232" t="n">
        <f aca="false">BU17+BV16</f>
        <v>-95771</v>
      </c>
      <c r="BW17" s="232" t="n">
        <f aca="false">BV17+BW16</f>
        <v>-95771</v>
      </c>
      <c r="BX17" s="232" t="n">
        <f aca="false">BW17+BX16</f>
        <v>-95771</v>
      </c>
      <c r="BY17" s="232" t="n">
        <f aca="false">BX17+BY16</f>
        <v>-95771</v>
      </c>
      <c r="BZ17" s="232" t="n">
        <f aca="false">BY17+BZ16</f>
        <v>-95771</v>
      </c>
      <c r="CA17" s="232" t="n">
        <f aca="false">BZ17+CA16</f>
        <v>-95771</v>
      </c>
      <c r="CB17" s="232" t="n">
        <f aca="false">CA17+CB16</f>
        <v>-95771</v>
      </c>
      <c r="CC17" s="232" t="n">
        <f aca="false">CB17+CC16</f>
        <v>-95771</v>
      </c>
      <c r="CD17" s="232" t="n">
        <f aca="false">CC17+CD16</f>
        <v>-95771</v>
      </c>
      <c r="CE17" s="232" t="n">
        <f aca="false">CD17+CE16</f>
        <v>-95771</v>
      </c>
      <c r="CF17" s="232" t="n">
        <f aca="false">CE17+CF16</f>
        <v>-95771</v>
      </c>
      <c r="CG17" s="232" t="n">
        <f aca="false">CF17+CG16</f>
        <v>-95771</v>
      </c>
      <c r="CH17" s="232"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755</v>
      </c>
      <c r="B20" s="3"/>
      <c r="C20" s="229" t="n">
        <f aca="false">Model!E251+Model!E252+Model!E253</f>
        <v>0</v>
      </c>
      <c r="D20" s="229" t="n">
        <f aca="false">Model!F251+Model!F252+Model!F253</f>
        <v>0</v>
      </c>
      <c r="E20" s="229" t="n">
        <f aca="false">Model!G251+Model!G252+Model!G253</f>
        <v>0</v>
      </c>
      <c r="F20" s="229" t="n">
        <f aca="false">Model!H251+Model!H252+Model!H253</f>
        <v>0</v>
      </c>
      <c r="G20" s="229" t="n">
        <f aca="false">Model!I251+Model!I252+Model!I253</f>
        <v>0</v>
      </c>
      <c r="H20" s="229" t="n">
        <f aca="false">Model!J251+Model!J252+Model!J253</f>
        <v>0</v>
      </c>
      <c r="I20" s="229" t="n">
        <f aca="false">Model!K251+Model!K252+Model!K253</f>
        <v>0</v>
      </c>
      <c r="J20" s="229" t="n">
        <f aca="false">Model!L251+Model!L252+Model!L253</f>
        <v>0</v>
      </c>
      <c r="K20" s="229" t="n">
        <f aca="false">Model!M251+Model!M252+Model!M253</f>
        <v>0</v>
      </c>
      <c r="L20" s="229" t="n">
        <f aca="false">Model!N251+Model!N252+Model!N253</f>
        <v>3157.89473684211</v>
      </c>
      <c r="M20" s="229" t="n">
        <f aca="false">Model!O251+Model!O252+Model!O253</f>
        <v>3157.89473684211</v>
      </c>
      <c r="N20" s="229" t="n">
        <f aca="false">Model!P251+Model!P252+Model!P253</f>
        <v>3157.89473684211</v>
      </c>
      <c r="O20" s="229" t="n">
        <f aca="false">Model!Q251+Model!Q252+Model!Q253</f>
        <v>3157.89473684211</v>
      </c>
      <c r="P20" s="229" t="n">
        <f aca="false">Model!R251+Model!R252+Model!R253</f>
        <v>3157.89473684211</v>
      </c>
      <c r="Q20" s="229" t="n">
        <f aca="false">Model!S251+Model!S252+Model!S253</f>
        <v>3157.89473684211</v>
      </c>
      <c r="R20" s="229" t="n">
        <f aca="false">Model!T251+Model!T252+Model!T253</f>
        <v>3157.89473684211</v>
      </c>
      <c r="S20" s="229" t="n">
        <f aca="false">Model!U251+Model!U252+Model!U253</f>
        <v>3157.89473684211</v>
      </c>
      <c r="T20" s="229" t="n">
        <f aca="false">Model!V251+Model!V252+Model!V253</f>
        <v>3157.89473684211</v>
      </c>
      <c r="U20" s="229" t="n">
        <f aca="false">Model!W251+Model!W252+Model!W253</f>
        <v>3157.89473684211</v>
      </c>
      <c r="V20" s="229" t="n">
        <f aca="false">Model!X251+Model!X252+Model!X253</f>
        <v>3157.89473684211</v>
      </c>
      <c r="W20" s="229" t="n">
        <f aca="false">Model!Y251+Model!Y252+Model!Y253</f>
        <v>3157.89473684211</v>
      </c>
      <c r="X20" s="229" t="n">
        <f aca="false">Model!Z251+Model!Z252+Model!Z253</f>
        <v>3157.89473684211</v>
      </c>
      <c r="Y20" s="229" t="n">
        <f aca="false">Model!AA251+Model!AA252+Model!AA253</f>
        <v>3157.89473684211</v>
      </c>
      <c r="Z20" s="229" t="n">
        <f aca="false">Model!AB251+Model!AB252+Model!AB253</f>
        <v>3157.89473684211</v>
      </c>
      <c r="AA20" s="229" t="n">
        <f aca="false">Model!AC251+Model!AC252+Model!AC253</f>
        <v>3157.89473684211</v>
      </c>
      <c r="AB20" s="229" t="n">
        <f aca="false">Model!AD251+Model!AD252+Model!AD253</f>
        <v>3157.89473684211</v>
      </c>
      <c r="AC20" s="229" t="n">
        <f aca="false">Model!AE251+Model!AE252+Model!AE253</f>
        <v>3157.89473684211</v>
      </c>
      <c r="AD20" s="229" t="n">
        <f aca="false">Model!AF251+Model!AF252+Model!AF253</f>
        <v>3157.89473684211</v>
      </c>
      <c r="AE20" s="229" t="n">
        <f aca="false">Model!AG251+Model!AG252+Model!AG253</f>
        <v>0</v>
      </c>
      <c r="AF20" s="229" t="n">
        <f aca="false">Model!AH251+Model!AH252+Model!AH253</f>
        <v>0</v>
      </c>
      <c r="AG20" s="229" t="n">
        <f aca="false">Model!AI251+Model!AI252+Model!AI253</f>
        <v>0</v>
      </c>
      <c r="AH20" s="229" t="n">
        <f aca="false">Model!AJ251+Model!AJ252+Model!AJ253</f>
        <v>0</v>
      </c>
      <c r="AI20" s="229" t="n">
        <f aca="false">Model!AK251+Model!AK252+Model!AK253</f>
        <v>0</v>
      </c>
      <c r="AJ20" s="229" t="n">
        <f aca="false">Model!AL251+Model!AL252+Model!AL253</f>
        <v>0</v>
      </c>
      <c r="AK20" s="229" t="n">
        <f aca="false">Model!AM251+Model!AM252+Model!AM253</f>
        <v>0</v>
      </c>
      <c r="AL20" s="229" t="n">
        <f aca="false">Model!AN251+Model!AN252+Model!AN253</f>
        <v>0</v>
      </c>
      <c r="AM20" s="229" t="n">
        <f aca="false">Model!AO251+Model!AO252+Model!AO253</f>
        <v>0</v>
      </c>
      <c r="AN20" s="229" t="n">
        <f aca="false">Model!AP251+Model!AP252+Model!AP253</f>
        <v>0</v>
      </c>
      <c r="AO20" s="229" t="n">
        <f aca="false">Model!AQ251+Model!AQ252+Model!AQ253</f>
        <v>0</v>
      </c>
      <c r="AP20" s="229" t="n">
        <f aca="false">Model!AR251+Model!AR252+Model!AR253</f>
        <v>0</v>
      </c>
      <c r="AQ20" s="229" t="n">
        <f aca="false">Model!AS251+Model!AS252+Model!AS253</f>
        <v>0</v>
      </c>
      <c r="AR20" s="229" t="n">
        <f aca="false">Model!AT251+Model!AT252+Model!AT253</f>
        <v>0</v>
      </c>
      <c r="AS20" s="229" t="n">
        <f aca="false">Model!AU251+Model!AU252+Model!AU253</f>
        <v>0</v>
      </c>
      <c r="AT20" s="229" t="n">
        <f aca="false">Model!AV251+Model!AV252+Model!AV253</f>
        <v>0</v>
      </c>
      <c r="AU20" s="229" t="n">
        <f aca="false">Model!AW251+Model!AW252+Model!AW253</f>
        <v>0</v>
      </c>
      <c r="AV20" s="229" t="n">
        <f aca="false">Model!AX251+Model!AX252+Model!AX253</f>
        <v>0</v>
      </c>
      <c r="AW20" s="229" t="n">
        <f aca="false">Model!AY251+Model!AY252+Model!AY253</f>
        <v>0</v>
      </c>
      <c r="AX20" s="229" t="n">
        <f aca="false">Model!AZ251+Model!AZ252+Model!AZ253</f>
        <v>0</v>
      </c>
      <c r="AY20" s="229" t="n">
        <f aca="false">Model!BA251+Model!BA252+Model!BA253</f>
        <v>0</v>
      </c>
      <c r="AZ20" s="229" t="n">
        <f aca="false">Model!BB251+Model!BB252+Model!BB253</f>
        <v>0</v>
      </c>
      <c r="BA20" s="229" t="n">
        <f aca="false">Model!BC251+Model!BC252+Model!BC253</f>
        <v>0</v>
      </c>
      <c r="BB20" s="229" t="n">
        <f aca="false">Model!BD251+Model!BD252+Model!BD253</f>
        <v>0</v>
      </c>
      <c r="BC20" s="229" t="n">
        <f aca="false">Model!BE251+Model!BE252+Model!BE253</f>
        <v>0</v>
      </c>
      <c r="BD20" s="229" t="n">
        <f aca="false">Model!BF251+Model!BF252+Model!BF253</f>
        <v>0</v>
      </c>
      <c r="BE20" s="229" t="n">
        <f aca="false">Model!BG251+Model!BG252+Model!BG253</f>
        <v>0</v>
      </c>
      <c r="BF20" s="229" t="n">
        <f aca="false">Model!BH251+Model!BH252+Model!BH253</f>
        <v>0</v>
      </c>
      <c r="BG20" s="229" t="n">
        <f aca="false">Model!BI251+Model!BI252+Model!BI253</f>
        <v>0</v>
      </c>
      <c r="BH20" s="229" t="n">
        <f aca="false">Model!BJ251+Model!BJ252+Model!BJ253</f>
        <v>0</v>
      </c>
      <c r="BI20" s="229" t="n">
        <f aca="false">Model!BK251+Model!BK252+Model!BK253</f>
        <v>0</v>
      </c>
      <c r="BJ20" s="229" t="n">
        <f aca="false">Model!BL251+Model!BL252+Model!BL253</f>
        <v>0</v>
      </c>
      <c r="BK20" s="229" t="n">
        <f aca="false">Model!BM251+Model!BM252+Model!BM253</f>
        <v>0</v>
      </c>
      <c r="BL20" s="229" t="n">
        <f aca="false">Model!BN251+Model!BN252+Model!BN253</f>
        <v>0</v>
      </c>
      <c r="BM20" s="229" t="n">
        <f aca="false">Model!BO251+Model!BO252+Model!BO253</f>
        <v>0</v>
      </c>
      <c r="BN20" s="229" t="n">
        <f aca="false">Model!BP251+Model!BP252+Model!BP253</f>
        <v>0</v>
      </c>
      <c r="BO20" s="229" t="n">
        <f aca="false">Model!BQ251+Model!BQ252+Model!BQ253</f>
        <v>0</v>
      </c>
      <c r="BP20" s="229" t="n">
        <f aca="false">Model!BR251+Model!BR252+Model!BR253</f>
        <v>0</v>
      </c>
      <c r="BQ20" s="229" t="n">
        <f aca="false">Model!BS251+Model!BS252+Model!BS253</f>
        <v>0</v>
      </c>
      <c r="BR20" s="229" t="n">
        <f aca="false">Model!BT251+Model!BT252+Model!BT253</f>
        <v>0</v>
      </c>
      <c r="BS20" s="229" t="n">
        <f aca="false">Model!BU251+Model!BU252+Model!BU253</f>
        <v>0</v>
      </c>
      <c r="BT20" s="229" t="n">
        <f aca="false">Model!BV251+Model!BV252+Model!BV253</f>
        <v>0</v>
      </c>
      <c r="BU20" s="229" t="n">
        <f aca="false">Model!BW251+Model!BW252+Model!BW253</f>
        <v>0</v>
      </c>
      <c r="BV20" s="229" t="n">
        <f aca="false">Model!BX251+Model!BX252+Model!BX253</f>
        <v>0</v>
      </c>
      <c r="BW20" s="229" t="n">
        <f aca="false">Model!BY251+Model!BY252+Model!BY253</f>
        <v>0</v>
      </c>
      <c r="BX20" s="229" t="n">
        <f aca="false">Model!BZ251+Model!BZ252+Model!BZ253</f>
        <v>0</v>
      </c>
      <c r="BY20" s="229" t="n">
        <f aca="false">Model!CA251+Model!CA252+Model!CA253</f>
        <v>0</v>
      </c>
      <c r="BZ20" s="229" t="n">
        <f aca="false">Model!CB251+Model!CB252+Model!CB253</f>
        <v>0</v>
      </c>
      <c r="CA20" s="229" t="n">
        <f aca="false">Model!CC251+Model!CC252+Model!CC253</f>
        <v>0</v>
      </c>
      <c r="CB20" s="229" t="n">
        <f aca="false">Model!CD251+Model!CD252+Model!CD253</f>
        <v>0</v>
      </c>
      <c r="CC20" s="229" t="n">
        <f aca="false">Model!CE251+Model!CE252+Model!CE253</f>
        <v>0</v>
      </c>
      <c r="CD20" s="229" t="n">
        <f aca="false">Model!CF251+Model!CF252+Model!CF253</f>
        <v>0</v>
      </c>
      <c r="CE20" s="229" t="n">
        <f aca="false">Model!CG251+Model!CG252+Model!CG253</f>
        <v>0</v>
      </c>
      <c r="CF20" s="229" t="n">
        <f aca="false">Model!CH251+Model!CH252+Model!CH253</f>
        <v>0</v>
      </c>
      <c r="CG20" s="229" t="n">
        <f aca="false">Model!CI251+Model!CI252+Model!CI253</f>
        <v>0</v>
      </c>
      <c r="CH20" s="229" t="n">
        <f aca="false">Model!CJ251+Model!CJ252+Model!CJ253</f>
        <v>0</v>
      </c>
    </row>
    <row r="21" customFormat="false" ht="15" hidden="false" customHeight="true" outlineLevel="0" collapsed="false">
      <c r="A21" s="233" t="s">
        <v>758</v>
      </c>
      <c r="B21" s="3"/>
      <c r="C21" s="234" t="n">
        <f aca="false">IF(AND(Projects!$G$12="Yes",1=Projects!$C$12),-135452,0)</f>
        <v>0</v>
      </c>
      <c r="D21" s="234" t="n">
        <f aca="false">IF(AND(Projects!$G$12="Yes",2=Projects!$C$12),-135452,0)</f>
        <v>0</v>
      </c>
      <c r="E21" s="234" t="n">
        <f aca="false">IF(AND(Projects!$G$12="Yes",3=Projects!$C$12),-135452,0)</f>
        <v>0</v>
      </c>
      <c r="F21" s="234" t="n">
        <f aca="false">IF(AND(Projects!$G$12="Yes",4=Projects!$C$12),-135452,0)</f>
        <v>0</v>
      </c>
      <c r="G21" s="234" t="n">
        <f aca="false">IF(AND(Projects!$G$12="Yes",5=Projects!$C$12),-135452,0)</f>
        <v>0</v>
      </c>
      <c r="H21" s="234" t="n">
        <f aca="false">IF(AND(Projects!$G$12="Yes",6=Projects!$C$12),-135452,0)</f>
        <v>0</v>
      </c>
      <c r="I21" s="234" t="n">
        <f aca="false">IF(AND(Projects!$G$12="Yes",7=Projects!$C$12),-135452,0)</f>
        <v>0</v>
      </c>
      <c r="J21" s="234" t="n">
        <f aca="false">IF(AND(Projects!$G$12="Yes",8=Projects!$C$12),-135452,0)</f>
        <v>0</v>
      </c>
      <c r="K21" s="234" t="n">
        <f aca="false">IF(AND(Projects!$G$12="Yes",9=Projects!$C$12),-135452,0)</f>
        <v>0</v>
      </c>
      <c r="L21" s="234" t="n">
        <f aca="false">IF(AND(Projects!$G$12="Yes",10=Projects!$C$12),-135452,0)</f>
        <v>-135452</v>
      </c>
      <c r="M21" s="234" t="n">
        <f aca="false">IF(AND(Projects!$G$12="Yes",11=Projects!$C$12),-135452,0)</f>
        <v>0</v>
      </c>
      <c r="N21" s="234" t="n">
        <f aca="false">IF(AND(Projects!$G$12="Yes",12=Projects!$C$12),-135452,0)</f>
        <v>0</v>
      </c>
      <c r="O21" s="234" t="n">
        <f aca="false">IF(AND(Projects!$G$12="Yes",13=Projects!$C$12),-135452,0)</f>
        <v>0</v>
      </c>
      <c r="P21" s="234" t="n">
        <f aca="false">IF(AND(Projects!$G$12="Yes",14=Projects!$C$12),-135452,0)</f>
        <v>0</v>
      </c>
      <c r="Q21" s="234" t="n">
        <f aca="false">IF(AND(Projects!$G$12="Yes",15=Projects!$C$12),-135452,0)</f>
        <v>0</v>
      </c>
      <c r="R21" s="234" t="n">
        <f aca="false">IF(AND(Projects!$G$12="Yes",16=Projects!$C$12),-135452,0)</f>
        <v>0</v>
      </c>
      <c r="S21" s="234" t="n">
        <f aca="false">IF(AND(Projects!$G$12="Yes",17=Projects!$C$12),-135452,0)</f>
        <v>0</v>
      </c>
      <c r="T21" s="234" t="n">
        <f aca="false">IF(AND(Projects!$G$12="Yes",18=Projects!$C$12),-135452,0)</f>
        <v>0</v>
      </c>
      <c r="U21" s="234" t="n">
        <f aca="false">IF(AND(Projects!$G$12="Yes",19=Projects!$C$12),-135452,0)</f>
        <v>0</v>
      </c>
      <c r="V21" s="234" t="n">
        <f aca="false">IF(AND(Projects!$G$12="Yes",20=Projects!$C$12),-135452,0)</f>
        <v>0</v>
      </c>
      <c r="W21" s="234" t="n">
        <f aca="false">IF(AND(Projects!$G$12="Yes",21=Projects!$C$12),-135452,0)</f>
        <v>0</v>
      </c>
      <c r="X21" s="234" t="n">
        <f aca="false">IF(AND(Projects!$G$12="Yes",22=Projects!$C$12),-135452,0)</f>
        <v>0</v>
      </c>
      <c r="Y21" s="234" t="n">
        <f aca="false">IF(AND(Projects!$G$12="Yes",23=Projects!$C$12),-135452,0)</f>
        <v>0</v>
      </c>
      <c r="Z21" s="234" t="n">
        <f aca="false">IF(AND(Projects!$G$12="Yes",24=Projects!$C$12),-135452,0)</f>
        <v>0</v>
      </c>
      <c r="AA21" s="234" t="n">
        <f aca="false">IF(AND(Projects!$G$12="Yes",25=Projects!$C$12),-135452,0)</f>
        <v>0</v>
      </c>
      <c r="AB21" s="234" t="n">
        <f aca="false">IF(AND(Projects!$G$12="Yes",26=Projects!$C$12),-135452,0)</f>
        <v>0</v>
      </c>
      <c r="AC21" s="234" t="n">
        <f aca="false">IF(AND(Projects!$G$12="Yes",27=Projects!$C$12),-135452,0)</f>
        <v>0</v>
      </c>
      <c r="AD21" s="234" t="n">
        <f aca="false">IF(AND(Projects!$G$12="Yes",28=Projects!$C$12),-135452,0)</f>
        <v>0</v>
      </c>
      <c r="AE21" s="234" t="n">
        <f aca="false">IF(AND(Projects!$G$12="Yes",29=Projects!$C$12),-135452,0)</f>
        <v>0</v>
      </c>
      <c r="AF21" s="234" t="n">
        <f aca="false">IF(AND(Projects!$G$12="Yes",30=Projects!$C$12),-135452,0)</f>
        <v>0</v>
      </c>
      <c r="AG21" s="234" t="n">
        <f aca="false">IF(AND(Projects!$G$12="Yes",31=Projects!$C$12),-135452,0)</f>
        <v>0</v>
      </c>
      <c r="AH21" s="234" t="n">
        <f aca="false">IF(AND(Projects!$G$12="Yes",32=Projects!$C$12),-135452,0)</f>
        <v>0</v>
      </c>
      <c r="AI21" s="234" t="n">
        <f aca="false">IF(AND(Projects!$G$12="Yes",33=Projects!$C$12),-135452,0)</f>
        <v>0</v>
      </c>
      <c r="AJ21" s="234" t="n">
        <f aca="false">IF(AND(Projects!$G$12="Yes",34=Projects!$C$12),-135452,0)</f>
        <v>0</v>
      </c>
      <c r="AK21" s="234" t="n">
        <f aca="false">IF(AND(Projects!$G$12="Yes",35=Projects!$C$12),-135452,0)</f>
        <v>0</v>
      </c>
      <c r="AL21" s="234" t="n">
        <f aca="false">IF(AND(Projects!$G$12="Yes",36=Projects!$C$12),-135452,0)</f>
        <v>0</v>
      </c>
      <c r="AM21" s="234" t="n">
        <f aca="false">IF(AND(Projects!$G$12="Yes",37=Projects!$C$12),-135452,0)</f>
        <v>0</v>
      </c>
      <c r="AN21" s="234" t="n">
        <f aca="false">IF(AND(Projects!$G$12="Yes",38=Projects!$C$12),-135452,0)</f>
        <v>0</v>
      </c>
      <c r="AO21" s="234" t="n">
        <f aca="false">IF(AND(Projects!$G$12="Yes",39=Projects!$C$12),-135452,0)</f>
        <v>0</v>
      </c>
      <c r="AP21" s="234" t="n">
        <f aca="false">IF(AND(Projects!$G$12="Yes",40=Projects!$C$12),-135452,0)</f>
        <v>0</v>
      </c>
      <c r="AQ21" s="234" t="n">
        <f aca="false">IF(AND(Projects!$G$12="Yes",41=Projects!$C$12),-135452,0)</f>
        <v>0</v>
      </c>
      <c r="AR21" s="234" t="n">
        <f aca="false">IF(AND(Projects!$G$12="Yes",42=Projects!$C$12),-135452,0)</f>
        <v>0</v>
      </c>
      <c r="AS21" s="234" t="n">
        <f aca="false">IF(AND(Projects!$G$12="Yes",43=Projects!$C$12),-135452,0)</f>
        <v>0</v>
      </c>
      <c r="AT21" s="234" t="n">
        <f aca="false">IF(AND(Projects!$G$12="Yes",44=Projects!$C$12),-135452,0)</f>
        <v>0</v>
      </c>
      <c r="AU21" s="234" t="n">
        <f aca="false">IF(AND(Projects!$G$12="Yes",45=Projects!$C$12),-135452,0)</f>
        <v>0</v>
      </c>
      <c r="AV21" s="234" t="n">
        <f aca="false">IF(AND(Projects!$G$12="Yes",46=Projects!$C$12),-135452,0)</f>
        <v>0</v>
      </c>
      <c r="AW21" s="234" t="n">
        <f aca="false">IF(AND(Projects!$G$12="Yes",47=Projects!$C$12),-135452,0)</f>
        <v>0</v>
      </c>
      <c r="AX21" s="234" t="n">
        <f aca="false">IF(AND(Projects!$G$12="Yes",48=Projects!$C$12),-135452,0)</f>
        <v>0</v>
      </c>
      <c r="AY21" s="234" t="n">
        <f aca="false">IF(AND(Projects!$G$12="Yes",49=Projects!$C$12),-135452,0)</f>
        <v>0</v>
      </c>
      <c r="AZ21" s="234" t="n">
        <f aca="false">IF(AND(Projects!$G$12="Yes",50=Projects!$C$12),-135452,0)</f>
        <v>0</v>
      </c>
      <c r="BA21" s="234" t="n">
        <f aca="false">IF(AND(Projects!$G$12="Yes",51=Projects!$C$12),-135452,0)</f>
        <v>0</v>
      </c>
      <c r="BB21" s="234" t="n">
        <f aca="false">IF(AND(Projects!$G$12="Yes",52=Projects!$C$12),-135452,0)</f>
        <v>0</v>
      </c>
      <c r="BC21" s="234" t="n">
        <f aca="false">IF(AND(Projects!$G$12="Yes",53=Projects!$C$12),-135452,0)</f>
        <v>0</v>
      </c>
      <c r="BD21" s="234" t="n">
        <f aca="false">IF(AND(Projects!$G$12="Yes",54=Projects!$C$12),-135452,0)</f>
        <v>0</v>
      </c>
      <c r="BE21" s="234" t="n">
        <f aca="false">IF(AND(Projects!$G$12="Yes",55=Projects!$C$12),-135452,0)</f>
        <v>0</v>
      </c>
      <c r="BF21" s="234" t="n">
        <f aca="false">IF(AND(Projects!$G$12="Yes",56=Projects!$C$12),-135452,0)</f>
        <v>0</v>
      </c>
      <c r="BG21" s="234" t="n">
        <f aca="false">IF(AND(Projects!$G$12="Yes",57=Projects!$C$12),-135452,0)</f>
        <v>0</v>
      </c>
      <c r="BH21" s="234" t="n">
        <f aca="false">IF(AND(Projects!$G$12="Yes",58=Projects!$C$12),-135452,0)</f>
        <v>0</v>
      </c>
      <c r="BI21" s="234" t="n">
        <f aca="false">IF(AND(Projects!$G$12="Yes",59=Projects!$C$12),-135452,0)</f>
        <v>0</v>
      </c>
      <c r="BJ21" s="234" t="n">
        <f aca="false">IF(AND(Projects!$G$12="Yes",60=Projects!$C$12),-135452,0)</f>
        <v>0</v>
      </c>
      <c r="BK21" s="234" t="n">
        <f aca="false">IF(AND(Projects!$G$12="Yes",61=Projects!$C$12),-135452,0)</f>
        <v>0</v>
      </c>
      <c r="BL21" s="234" t="n">
        <f aca="false">IF(AND(Projects!$G$12="Yes",62=Projects!$C$12),-135452,0)</f>
        <v>0</v>
      </c>
      <c r="BM21" s="234" t="n">
        <f aca="false">IF(AND(Projects!$G$12="Yes",63=Projects!$C$12),-135452,0)</f>
        <v>0</v>
      </c>
      <c r="BN21" s="234" t="n">
        <f aca="false">IF(AND(Projects!$G$12="Yes",64=Projects!$C$12),-135452,0)</f>
        <v>0</v>
      </c>
      <c r="BO21" s="234" t="n">
        <f aca="false">IF(AND(Projects!$G$12="Yes",65=Projects!$C$12),-135452,0)</f>
        <v>0</v>
      </c>
      <c r="BP21" s="234" t="n">
        <f aca="false">IF(AND(Projects!$G$12="Yes",66=Projects!$C$12),-135452,0)</f>
        <v>0</v>
      </c>
      <c r="BQ21" s="234" t="n">
        <f aca="false">IF(AND(Projects!$G$12="Yes",67=Projects!$C$12),-135452,0)</f>
        <v>0</v>
      </c>
      <c r="BR21" s="234" t="n">
        <f aca="false">IF(AND(Projects!$G$12="Yes",68=Projects!$C$12),-135452,0)</f>
        <v>0</v>
      </c>
      <c r="BS21" s="234" t="n">
        <f aca="false">IF(AND(Projects!$G$12="Yes",69=Projects!$C$12),-135452,0)</f>
        <v>0</v>
      </c>
      <c r="BT21" s="234" t="n">
        <f aca="false">IF(AND(Projects!$G$12="Yes",70=Projects!$C$12),-135452,0)</f>
        <v>0</v>
      </c>
      <c r="BU21" s="234" t="n">
        <f aca="false">IF(AND(Projects!$G$12="Yes",71=Projects!$C$12),-135452,0)</f>
        <v>0</v>
      </c>
      <c r="BV21" s="234" t="n">
        <f aca="false">IF(AND(Projects!$G$12="Yes",72=Projects!$C$12),-135452,0)</f>
        <v>0</v>
      </c>
      <c r="BW21" s="234" t="n">
        <f aca="false">IF(AND(Projects!$G$12="Yes",73=Projects!$C$12),-135452,0)</f>
        <v>0</v>
      </c>
      <c r="BX21" s="234" t="n">
        <f aca="false">IF(AND(Projects!$G$12="Yes",74=Projects!$C$12),-135452,0)</f>
        <v>0</v>
      </c>
      <c r="BY21" s="234" t="n">
        <f aca="false">IF(AND(Projects!$G$12="Yes",75=Projects!$C$12),-135452,0)</f>
        <v>0</v>
      </c>
      <c r="BZ21" s="234" t="n">
        <f aca="false">IF(AND(Projects!$G$12="Yes",76=Projects!$C$12),-135452,0)</f>
        <v>0</v>
      </c>
      <c r="CA21" s="234" t="n">
        <f aca="false">IF(AND(Projects!$G$12="Yes",77=Projects!$C$12),-135452,0)</f>
        <v>0</v>
      </c>
      <c r="CB21" s="234" t="n">
        <f aca="false">IF(AND(Projects!$G$12="Yes",78=Projects!$C$12),-135452,0)</f>
        <v>0</v>
      </c>
      <c r="CC21" s="234" t="n">
        <f aca="false">IF(AND(Projects!$G$12="Yes",79=Projects!$C$12),-135452,0)</f>
        <v>0</v>
      </c>
      <c r="CD21" s="234" t="n">
        <f aca="false">IF(AND(Projects!$G$12="Yes",80=Projects!$C$12),-135452,0)</f>
        <v>0</v>
      </c>
      <c r="CE21" s="234" t="n">
        <f aca="false">IF(AND(Projects!$G$12="Yes",81=Projects!$C$12),-135452,0)</f>
        <v>0</v>
      </c>
      <c r="CF21" s="234" t="n">
        <f aca="false">IF(AND(Projects!$G$12="Yes",82=Projects!$C$12),-135452,0)</f>
        <v>0</v>
      </c>
      <c r="CG21" s="234" t="n">
        <f aca="false">IF(AND(Projects!$G$12="Yes",83=Projects!$C$12),-135452,0)</f>
        <v>0</v>
      </c>
      <c r="CH21" s="234" t="n">
        <f aca="false">IF(AND(Projects!$G$12="Yes",84=Projects!$C$12),-135452,0)</f>
        <v>0</v>
      </c>
    </row>
    <row r="22" customFormat="false" ht="15" hidden="false" customHeight="true" outlineLevel="0" collapsed="false">
      <c r="A22" s="230" t="s">
        <v>756</v>
      </c>
      <c r="B22" s="230"/>
      <c r="C22" s="231" t="n">
        <f aca="false">C20+C21</f>
        <v>0</v>
      </c>
      <c r="D22" s="231" t="n">
        <f aca="false">D20+D21</f>
        <v>0</v>
      </c>
      <c r="E22" s="231" t="n">
        <f aca="false">E20+E21</f>
        <v>0</v>
      </c>
      <c r="F22" s="231" t="n">
        <f aca="false">F20+F21</f>
        <v>0</v>
      </c>
      <c r="G22" s="231" t="n">
        <f aca="false">G20+G21</f>
        <v>0</v>
      </c>
      <c r="H22" s="231" t="n">
        <f aca="false">H20+H21</f>
        <v>0</v>
      </c>
      <c r="I22" s="231" t="n">
        <f aca="false">I20+I21</f>
        <v>0</v>
      </c>
      <c r="J22" s="231" t="n">
        <f aca="false">J20+J21</f>
        <v>0</v>
      </c>
      <c r="K22" s="231" t="n">
        <f aca="false">K20+K21</f>
        <v>0</v>
      </c>
      <c r="L22" s="231" t="n">
        <f aca="false">L20+L21</f>
        <v>-132294.105263158</v>
      </c>
      <c r="M22" s="231" t="n">
        <f aca="false">M20+M21</f>
        <v>3157.89473684211</v>
      </c>
      <c r="N22" s="231" t="n">
        <f aca="false">N20+N21</f>
        <v>3157.89473684211</v>
      </c>
      <c r="O22" s="231" t="n">
        <f aca="false">O20+O21</f>
        <v>3157.89473684211</v>
      </c>
      <c r="P22" s="231" t="n">
        <f aca="false">P20+P21</f>
        <v>3157.89473684211</v>
      </c>
      <c r="Q22" s="231" t="n">
        <f aca="false">Q20+Q21</f>
        <v>3157.89473684211</v>
      </c>
      <c r="R22" s="231" t="n">
        <f aca="false">R20+R21</f>
        <v>3157.89473684211</v>
      </c>
      <c r="S22" s="231" t="n">
        <f aca="false">S20+S21</f>
        <v>3157.89473684211</v>
      </c>
      <c r="T22" s="231" t="n">
        <f aca="false">T20+T21</f>
        <v>3157.89473684211</v>
      </c>
      <c r="U22" s="231" t="n">
        <f aca="false">U20+U21</f>
        <v>3157.89473684211</v>
      </c>
      <c r="V22" s="231" t="n">
        <f aca="false">V20+V21</f>
        <v>3157.89473684211</v>
      </c>
      <c r="W22" s="231" t="n">
        <f aca="false">W20+W21</f>
        <v>3157.89473684211</v>
      </c>
      <c r="X22" s="231" t="n">
        <f aca="false">X20+X21</f>
        <v>3157.89473684211</v>
      </c>
      <c r="Y22" s="231" t="n">
        <f aca="false">Y20+Y21</f>
        <v>3157.89473684211</v>
      </c>
      <c r="Z22" s="231" t="n">
        <f aca="false">Z20+Z21</f>
        <v>3157.89473684211</v>
      </c>
      <c r="AA22" s="231" t="n">
        <f aca="false">AA20+AA21</f>
        <v>3157.89473684211</v>
      </c>
      <c r="AB22" s="231" t="n">
        <f aca="false">AB20+AB21</f>
        <v>3157.89473684211</v>
      </c>
      <c r="AC22" s="231" t="n">
        <f aca="false">AC20+AC21</f>
        <v>3157.89473684211</v>
      </c>
      <c r="AD22" s="231" t="n">
        <f aca="false">AD20+AD21</f>
        <v>3157.89473684211</v>
      </c>
      <c r="AE22" s="231" t="n">
        <f aca="false">AE20+AE21</f>
        <v>0</v>
      </c>
      <c r="AF22" s="231" t="n">
        <f aca="false">AF20+AF21</f>
        <v>0</v>
      </c>
      <c r="AG22" s="231" t="n">
        <f aca="false">AG20+AG21</f>
        <v>0</v>
      </c>
      <c r="AH22" s="231" t="n">
        <f aca="false">AH20+AH21</f>
        <v>0</v>
      </c>
      <c r="AI22" s="231" t="n">
        <f aca="false">AI20+AI21</f>
        <v>0</v>
      </c>
      <c r="AJ22" s="231" t="n">
        <f aca="false">AJ20+AJ21</f>
        <v>0</v>
      </c>
      <c r="AK22" s="231" t="n">
        <f aca="false">AK20+AK21</f>
        <v>0</v>
      </c>
      <c r="AL22" s="231" t="n">
        <f aca="false">AL20+AL21</f>
        <v>0</v>
      </c>
      <c r="AM22" s="231" t="n">
        <f aca="false">AM20+AM21</f>
        <v>0</v>
      </c>
      <c r="AN22" s="231" t="n">
        <f aca="false">AN20+AN21</f>
        <v>0</v>
      </c>
      <c r="AO22" s="231" t="n">
        <f aca="false">AO20+AO21</f>
        <v>0</v>
      </c>
      <c r="AP22" s="231" t="n">
        <f aca="false">AP20+AP21</f>
        <v>0</v>
      </c>
      <c r="AQ22" s="231" t="n">
        <f aca="false">AQ20+AQ21</f>
        <v>0</v>
      </c>
      <c r="AR22" s="231" t="n">
        <f aca="false">AR20+AR21</f>
        <v>0</v>
      </c>
      <c r="AS22" s="231" t="n">
        <f aca="false">AS20+AS21</f>
        <v>0</v>
      </c>
      <c r="AT22" s="231" t="n">
        <f aca="false">AT20+AT21</f>
        <v>0</v>
      </c>
      <c r="AU22" s="231" t="n">
        <f aca="false">AU20+AU21</f>
        <v>0</v>
      </c>
      <c r="AV22" s="231" t="n">
        <f aca="false">AV20+AV21</f>
        <v>0</v>
      </c>
      <c r="AW22" s="231" t="n">
        <f aca="false">AW20+AW21</f>
        <v>0</v>
      </c>
      <c r="AX22" s="231" t="n">
        <f aca="false">AX20+AX21</f>
        <v>0</v>
      </c>
      <c r="AY22" s="231" t="n">
        <f aca="false">AY20+AY21</f>
        <v>0</v>
      </c>
      <c r="AZ22" s="231" t="n">
        <f aca="false">AZ20+AZ21</f>
        <v>0</v>
      </c>
      <c r="BA22" s="231" t="n">
        <f aca="false">BA20+BA21</f>
        <v>0</v>
      </c>
      <c r="BB22" s="231" t="n">
        <f aca="false">BB20+BB21</f>
        <v>0</v>
      </c>
      <c r="BC22" s="231" t="n">
        <f aca="false">BC20+BC21</f>
        <v>0</v>
      </c>
      <c r="BD22" s="231" t="n">
        <f aca="false">BD20+BD21</f>
        <v>0</v>
      </c>
      <c r="BE22" s="231" t="n">
        <f aca="false">BE20+BE21</f>
        <v>0</v>
      </c>
      <c r="BF22" s="231" t="n">
        <f aca="false">BF20+BF21</f>
        <v>0</v>
      </c>
      <c r="BG22" s="231" t="n">
        <f aca="false">BG20+BG21</f>
        <v>0</v>
      </c>
      <c r="BH22" s="231" t="n">
        <f aca="false">BH20+BH21</f>
        <v>0</v>
      </c>
      <c r="BI22" s="231" t="n">
        <f aca="false">BI20+BI21</f>
        <v>0</v>
      </c>
      <c r="BJ22" s="231" t="n">
        <f aca="false">BJ20+BJ21</f>
        <v>0</v>
      </c>
      <c r="BK22" s="231" t="n">
        <f aca="false">BK20+BK21</f>
        <v>0</v>
      </c>
      <c r="BL22" s="231" t="n">
        <f aca="false">BL20+BL21</f>
        <v>0</v>
      </c>
      <c r="BM22" s="231" t="n">
        <f aca="false">BM20+BM21</f>
        <v>0</v>
      </c>
      <c r="BN22" s="231" t="n">
        <f aca="false">BN20+BN21</f>
        <v>0</v>
      </c>
      <c r="BO22" s="231" t="n">
        <f aca="false">BO20+BO21</f>
        <v>0</v>
      </c>
      <c r="BP22" s="231" t="n">
        <f aca="false">BP20+BP21</f>
        <v>0</v>
      </c>
      <c r="BQ22" s="231" t="n">
        <f aca="false">BQ20+BQ21</f>
        <v>0</v>
      </c>
      <c r="BR22" s="231" t="n">
        <f aca="false">BR20+BR21</f>
        <v>0</v>
      </c>
      <c r="BS22" s="231" t="n">
        <f aca="false">BS20+BS21</f>
        <v>0</v>
      </c>
      <c r="BT22" s="231" t="n">
        <f aca="false">BT20+BT21</f>
        <v>0</v>
      </c>
      <c r="BU22" s="231" t="n">
        <f aca="false">BU20+BU21</f>
        <v>0</v>
      </c>
      <c r="BV22" s="231" t="n">
        <f aca="false">BV20+BV21</f>
        <v>0</v>
      </c>
      <c r="BW22" s="231" t="n">
        <f aca="false">BW20+BW21</f>
        <v>0</v>
      </c>
      <c r="BX22" s="231" t="n">
        <f aca="false">BX20+BX21</f>
        <v>0</v>
      </c>
      <c r="BY22" s="231" t="n">
        <f aca="false">BY20+BY21</f>
        <v>0</v>
      </c>
      <c r="BZ22" s="231" t="n">
        <f aca="false">BZ20+BZ21</f>
        <v>0</v>
      </c>
      <c r="CA22" s="231" t="n">
        <f aca="false">CA20+CA21</f>
        <v>0</v>
      </c>
      <c r="CB22" s="231" t="n">
        <f aca="false">CB20+CB21</f>
        <v>0</v>
      </c>
      <c r="CC22" s="231" t="n">
        <f aca="false">CC20+CC21</f>
        <v>0</v>
      </c>
      <c r="CD22" s="231" t="n">
        <f aca="false">CD20+CD21</f>
        <v>0</v>
      </c>
      <c r="CE22" s="231" t="n">
        <f aca="false">CE20+CE21</f>
        <v>0</v>
      </c>
      <c r="CF22" s="231" t="n">
        <f aca="false">CF20+CF21</f>
        <v>0</v>
      </c>
      <c r="CG22" s="231" t="n">
        <f aca="false">CG20+CG21</f>
        <v>0</v>
      </c>
      <c r="CH22" s="231" t="n">
        <f aca="false">CH20+CH21</f>
        <v>0</v>
      </c>
    </row>
    <row r="23" customFormat="false" ht="15" hidden="false" customHeight="true" outlineLevel="0" collapsed="false">
      <c r="A23" s="2" t="s">
        <v>757</v>
      </c>
      <c r="B23" s="3"/>
      <c r="C23" s="232" t="n">
        <f aca="false">C22</f>
        <v>0</v>
      </c>
      <c r="D23" s="232" t="n">
        <f aca="false">C23+D22</f>
        <v>0</v>
      </c>
      <c r="E23" s="232" t="n">
        <f aca="false">D23+E22</f>
        <v>0</v>
      </c>
      <c r="F23" s="232" t="n">
        <f aca="false">E23+F22</f>
        <v>0</v>
      </c>
      <c r="G23" s="232" t="n">
        <f aca="false">F23+G22</f>
        <v>0</v>
      </c>
      <c r="H23" s="232" t="n">
        <f aca="false">G23+H22</f>
        <v>0</v>
      </c>
      <c r="I23" s="232" t="n">
        <f aca="false">H23+I22</f>
        <v>0</v>
      </c>
      <c r="J23" s="232" t="n">
        <f aca="false">I23+J22</f>
        <v>0</v>
      </c>
      <c r="K23" s="232" t="n">
        <f aca="false">J23+K22</f>
        <v>0</v>
      </c>
      <c r="L23" s="232" t="n">
        <f aca="false">K23+L22</f>
        <v>-132294.105263158</v>
      </c>
      <c r="M23" s="232" t="n">
        <f aca="false">L23+M22</f>
        <v>-129136.210526316</v>
      </c>
      <c r="N23" s="232" t="n">
        <f aca="false">M23+N22</f>
        <v>-125978.315789474</v>
      </c>
      <c r="O23" s="232" t="n">
        <f aca="false">N23+O22</f>
        <v>-122820.421052632</v>
      </c>
      <c r="P23" s="232" t="n">
        <f aca="false">O23+P22</f>
        <v>-119662.526315789</v>
      </c>
      <c r="Q23" s="232" t="n">
        <f aca="false">P23+Q22</f>
        <v>-116504.631578947</v>
      </c>
      <c r="R23" s="232" t="n">
        <f aca="false">Q23+R22</f>
        <v>-113346.736842105</v>
      </c>
      <c r="S23" s="232" t="n">
        <f aca="false">R23+S22</f>
        <v>-110188.842105263</v>
      </c>
      <c r="T23" s="232" t="n">
        <f aca="false">S23+T22</f>
        <v>-107030.947368421</v>
      </c>
      <c r="U23" s="232" t="n">
        <f aca="false">T23+U22</f>
        <v>-103873.052631579</v>
      </c>
      <c r="V23" s="232" t="n">
        <f aca="false">U23+V22</f>
        <v>-100715.157894737</v>
      </c>
      <c r="W23" s="232" t="n">
        <f aca="false">V23+W22</f>
        <v>-97557.2631578947</v>
      </c>
      <c r="X23" s="232" t="n">
        <f aca="false">W23+X22</f>
        <v>-94399.3684210526</v>
      </c>
      <c r="Y23" s="232" t="n">
        <f aca="false">X23+Y22</f>
        <v>-91241.4736842105</v>
      </c>
      <c r="Z23" s="232" t="n">
        <f aca="false">Y23+Z22</f>
        <v>-88083.5789473684</v>
      </c>
      <c r="AA23" s="232" t="n">
        <f aca="false">Z23+AA22</f>
        <v>-84925.6842105263</v>
      </c>
      <c r="AB23" s="232" t="n">
        <f aca="false">AA23+AB22</f>
        <v>-81767.7894736842</v>
      </c>
      <c r="AC23" s="232" t="n">
        <f aca="false">AB23+AC22</f>
        <v>-78609.8947368421</v>
      </c>
      <c r="AD23" s="232" t="n">
        <f aca="false">AC23+AD22</f>
        <v>-75452</v>
      </c>
      <c r="AE23" s="232" t="n">
        <f aca="false">AD23+AE22</f>
        <v>-75452</v>
      </c>
      <c r="AF23" s="232" t="n">
        <f aca="false">AE23+AF22</f>
        <v>-75452</v>
      </c>
      <c r="AG23" s="232" t="n">
        <f aca="false">AF23+AG22</f>
        <v>-75452</v>
      </c>
      <c r="AH23" s="232" t="n">
        <f aca="false">AG23+AH22</f>
        <v>-75452</v>
      </c>
      <c r="AI23" s="232" t="n">
        <f aca="false">AH23+AI22</f>
        <v>-75452</v>
      </c>
      <c r="AJ23" s="232" t="n">
        <f aca="false">AI23+AJ22</f>
        <v>-75452</v>
      </c>
      <c r="AK23" s="232" t="n">
        <f aca="false">AJ23+AK22</f>
        <v>-75452</v>
      </c>
      <c r="AL23" s="232" t="n">
        <f aca="false">AK23+AL22</f>
        <v>-75452</v>
      </c>
      <c r="AM23" s="232" t="n">
        <f aca="false">AL23+AM22</f>
        <v>-75452</v>
      </c>
      <c r="AN23" s="232" t="n">
        <f aca="false">AM23+AN22</f>
        <v>-75452</v>
      </c>
      <c r="AO23" s="232" t="n">
        <f aca="false">AN23+AO22</f>
        <v>-75452</v>
      </c>
      <c r="AP23" s="232" t="n">
        <f aca="false">AO23+AP22</f>
        <v>-75452</v>
      </c>
      <c r="AQ23" s="232" t="n">
        <f aca="false">AP23+AQ22</f>
        <v>-75452</v>
      </c>
      <c r="AR23" s="232" t="n">
        <f aca="false">AQ23+AR22</f>
        <v>-75452</v>
      </c>
      <c r="AS23" s="232" t="n">
        <f aca="false">AR23+AS22</f>
        <v>-75452</v>
      </c>
      <c r="AT23" s="232" t="n">
        <f aca="false">AS23+AT22</f>
        <v>-75452</v>
      </c>
      <c r="AU23" s="232" t="n">
        <f aca="false">AT23+AU22</f>
        <v>-75452</v>
      </c>
      <c r="AV23" s="232" t="n">
        <f aca="false">AU23+AV22</f>
        <v>-75452</v>
      </c>
      <c r="AW23" s="232" t="n">
        <f aca="false">AV23+AW22</f>
        <v>-75452</v>
      </c>
      <c r="AX23" s="232" t="n">
        <f aca="false">AW23+AX22</f>
        <v>-75452</v>
      </c>
      <c r="AY23" s="232" t="n">
        <f aca="false">AX23+AY22</f>
        <v>-75452</v>
      </c>
      <c r="AZ23" s="232" t="n">
        <f aca="false">AY23+AZ22</f>
        <v>-75452</v>
      </c>
      <c r="BA23" s="232" t="n">
        <f aca="false">AZ23+BA22</f>
        <v>-75452</v>
      </c>
      <c r="BB23" s="232" t="n">
        <f aca="false">BA23+BB22</f>
        <v>-75452</v>
      </c>
      <c r="BC23" s="232" t="n">
        <f aca="false">BB23+BC22</f>
        <v>-75452</v>
      </c>
      <c r="BD23" s="232" t="n">
        <f aca="false">BC23+BD22</f>
        <v>-75452</v>
      </c>
      <c r="BE23" s="232" t="n">
        <f aca="false">BD23+BE22</f>
        <v>-75452</v>
      </c>
      <c r="BF23" s="232" t="n">
        <f aca="false">BE23+BF22</f>
        <v>-75452</v>
      </c>
      <c r="BG23" s="232" t="n">
        <f aca="false">BF23+BG22</f>
        <v>-75452</v>
      </c>
      <c r="BH23" s="232" t="n">
        <f aca="false">BG23+BH22</f>
        <v>-75452</v>
      </c>
      <c r="BI23" s="232" t="n">
        <f aca="false">BH23+BI22</f>
        <v>-75452</v>
      </c>
      <c r="BJ23" s="232" t="n">
        <f aca="false">BI23+BJ22</f>
        <v>-75452</v>
      </c>
      <c r="BK23" s="232" t="n">
        <f aca="false">BJ23+BK22</f>
        <v>-75452</v>
      </c>
      <c r="BL23" s="232" t="n">
        <f aca="false">BK23+BL22</f>
        <v>-75452</v>
      </c>
      <c r="BM23" s="232" t="n">
        <f aca="false">BL23+BM22</f>
        <v>-75452</v>
      </c>
      <c r="BN23" s="232" t="n">
        <f aca="false">BM23+BN22</f>
        <v>-75452</v>
      </c>
      <c r="BO23" s="232" t="n">
        <f aca="false">BN23+BO22</f>
        <v>-75452</v>
      </c>
      <c r="BP23" s="232" t="n">
        <f aca="false">BO23+BP22</f>
        <v>-75452</v>
      </c>
      <c r="BQ23" s="232" t="n">
        <f aca="false">BP23+BQ22</f>
        <v>-75452</v>
      </c>
      <c r="BR23" s="232" t="n">
        <f aca="false">BQ23+BR22</f>
        <v>-75452</v>
      </c>
      <c r="BS23" s="232" t="n">
        <f aca="false">BR23+BS22</f>
        <v>-75452</v>
      </c>
      <c r="BT23" s="232" t="n">
        <f aca="false">BS23+BT22</f>
        <v>-75452</v>
      </c>
      <c r="BU23" s="232" t="n">
        <f aca="false">BT23+BU22</f>
        <v>-75452</v>
      </c>
      <c r="BV23" s="232" t="n">
        <f aca="false">BU23+BV22</f>
        <v>-75452</v>
      </c>
      <c r="BW23" s="232" t="n">
        <f aca="false">BV23+BW22</f>
        <v>-75452</v>
      </c>
      <c r="BX23" s="232" t="n">
        <f aca="false">BW23+BX22</f>
        <v>-75452</v>
      </c>
      <c r="BY23" s="232" t="n">
        <f aca="false">BX23+BY22</f>
        <v>-75452</v>
      </c>
      <c r="BZ23" s="232" t="n">
        <f aca="false">BY23+BZ22</f>
        <v>-75452</v>
      </c>
      <c r="CA23" s="232" t="n">
        <f aca="false">BZ23+CA22</f>
        <v>-75452</v>
      </c>
      <c r="CB23" s="232" t="n">
        <f aca="false">CA23+CB22</f>
        <v>-75452</v>
      </c>
      <c r="CC23" s="232" t="n">
        <f aca="false">CB23+CC22</f>
        <v>-75452</v>
      </c>
      <c r="CD23" s="232" t="n">
        <f aca="false">CC23+CD22</f>
        <v>-75452</v>
      </c>
      <c r="CE23" s="232" t="n">
        <f aca="false">CD23+CE22</f>
        <v>-75452</v>
      </c>
      <c r="CF23" s="232" t="n">
        <f aca="false">CE23+CF22</f>
        <v>-75452</v>
      </c>
      <c r="CG23" s="232" t="n">
        <f aca="false">CF23+CG22</f>
        <v>-75452</v>
      </c>
      <c r="CH23" s="232"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755</v>
      </c>
      <c r="B26" s="3"/>
      <c r="C26" s="229" t="n">
        <f aca="false">Model!E254</f>
        <v>0</v>
      </c>
      <c r="D26" s="229" t="n">
        <f aca="false">Model!F254</f>
        <v>0</v>
      </c>
      <c r="E26" s="229" t="n">
        <f aca="false">Model!G254</f>
        <v>0</v>
      </c>
      <c r="F26" s="229" t="n">
        <f aca="false">Model!H254</f>
        <v>0</v>
      </c>
      <c r="G26" s="229" t="n">
        <f aca="false">Model!I254</f>
        <v>127514</v>
      </c>
      <c r="H26" s="229" t="n">
        <f aca="false">Model!J254</f>
        <v>0</v>
      </c>
      <c r="I26" s="229" t="n">
        <f aca="false">Model!K254</f>
        <v>0</v>
      </c>
      <c r="J26" s="229" t="n">
        <f aca="false">Model!L254</f>
        <v>0</v>
      </c>
      <c r="K26" s="229" t="n">
        <f aca="false">Model!M254</f>
        <v>0</v>
      </c>
      <c r="L26" s="229" t="n">
        <f aca="false">Model!N254</f>
        <v>0</v>
      </c>
      <c r="M26" s="229" t="n">
        <f aca="false">Model!O254</f>
        <v>0</v>
      </c>
      <c r="N26" s="229" t="n">
        <f aca="false">Model!P254</f>
        <v>0</v>
      </c>
      <c r="O26" s="229" t="n">
        <f aca="false">Model!Q254</f>
        <v>0</v>
      </c>
      <c r="P26" s="229" t="n">
        <f aca="false">Model!R254</f>
        <v>0</v>
      </c>
      <c r="Q26" s="229" t="n">
        <f aca="false">Model!S254</f>
        <v>0</v>
      </c>
      <c r="R26" s="229" t="n">
        <f aca="false">Model!T254</f>
        <v>0</v>
      </c>
      <c r="S26" s="229" t="n">
        <f aca="false">Model!U254</f>
        <v>0</v>
      </c>
      <c r="T26" s="229" t="n">
        <f aca="false">Model!V254</f>
        <v>0</v>
      </c>
      <c r="U26" s="229" t="n">
        <f aca="false">Model!W254</f>
        <v>0</v>
      </c>
      <c r="V26" s="229" t="n">
        <f aca="false">Model!X254</f>
        <v>0</v>
      </c>
      <c r="W26" s="229" t="n">
        <f aca="false">Model!Y254</f>
        <v>0</v>
      </c>
      <c r="X26" s="229" t="n">
        <f aca="false">Model!Z254</f>
        <v>0</v>
      </c>
      <c r="Y26" s="229" t="n">
        <f aca="false">Model!AA254</f>
        <v>0</v>
      </c>
      <c r="Z26" s="229" t="n">
        <f aca="false">Model!AB254</f>
        <v>0</v>
      </c>
      <c r="AA26" s="229" t="n">
        <f aca="false">Model!AC254</f>
        <v>0</v>
      </c>
      <c r="AB26" s="229" t="n">
        <f aca="false">Model!AD254</f>
        <v>0</v>
      </c>
      <c r="AC26" s="229" t="n">
        <f aca="false">Model!AE254</f>
        <v>0</v>
      </c>
      <c r="AD26" s="229" t="n">
        <f aca="false">Model!AF254</f>
        <v>0</v>
      </c>
      <c r="AE26" s="229" t="n">
        <f aca="false">Model!AG254</f>
        <v>0</v>
      </c>
      <c r="AF26" s="229" t="n">
        <f aca="false">Model!AH254</f>
        <v>0</v>
      </c>
      <c r="AG26" s="229" t="n">
        <f aca="false">Model!AI254</f>
        <v>0</v>
      </c>
      <c r="AH26" s="229" t="n">
        <f aca="false">Model!AJ254</f>
        <v>0</v>
      </c>
      <c r="AI26" s="229" t="n">
        <f aca="false">Model!AK254</f>
        <v>0</v>
      </c>
      <c r="AJ26" s="229" t="n">
        <f aca="false">Model!AL254</f>
        <v>0</v>
      </c>
      <c r="AK26" s="229" t="n">
        <f aca="false">Model!AM254</f>
        <v>0</v>
      </c>
      <c r="AL26" s="229" t="n">
        <f aca="false">Model!AN254</f>
        <v>0</v>
      </c>
      <c r="AM26" s="229" t="n">
        <f aca="false">Model!AO254</f>
        <v>0</v>
      </c>
      <c r="AN26" s="229" t="n">
        <f aca="false">Model!AP254</f>
        <v>0</v>
      </c>
      <c r="AO26" s="229" t="n">
        <f aca="false">Model!AQ254</f>
        <v>0</v>
      </c>
      <c r="AP26" s="229" t="n">
        <f aca="false">Model!AR254</f>
        <v>0</v>
      </c>
      <c r="AQ26" s="229" t="n">
        <f aca="false">Model!AS254</f>
        <v>0</v>
      </c>
      <c r="AR26" s="229" t="n">
        <f aca="false">Model!AT254</f>
        <v>81683</v>
      </c>
      <c r="AS26" s="229" t="n">
        <f aca="false">Model!AU254</f>
        <v>0</v>
      </c>
      <c r="AT26" s="229" t="n">
        <f aca="false">Model!AV254</f>
        <v>0</v>
      </c>
      <c r="AU26" s="229" t="n">
        <f aca="false">Model!AW254</f>
        <v>81682</v>
      </c>
      <c r="AV26" s="229" t="n">
        <f aca="false">Model!AX254</f>
        <v>0</v>
      </c>
      <c r="AW26" s="229" t="n">
        <f aca="false">Model!AY254</f>
        <v>0</v>
      </c>
      <c r="AX26" s="229" t="n">
        <f aca="false">Model!AZ254</f>
        <v>81682</v>
      </c>
      <c r="AY26" s="229" t="n">
        <f aca="false">Model!BA254</f>
        <v>0</v>
      </c>
      <c r="AZ26" s="229" t="n">
        <f aca="false">Model!BB254</f>
        <v>0</v>
      </c>
      <c r="BA26" s="229" t="n">
        <f aca="false">Model!BC254</f>
        <v>81682</v>
      </c>
      <c r="BB26" s="229" t="n">
        <f aca="false">Model!BD254</f>
        <v>0</v>
      </c>
      <c r="BC26" s="229" t="n">
        <f aca="false">Model!BE254</f>
        <v>0</v>
      </c>
      <c r="BD26" s="229" t="n">
        <f aca="false">Model!BF254</f>
        <v>59178</v>
      </c>
      <c r="BE26" s="229" t="n">
        <f aca="false">Model!BG254</f>
        <v>0</v>
      </c>
      <c r="BF26" s="229" t="n">
        <f aca="false">Model!BH254</f>
        <v>0</v>
      </c>
      <c r="BG26" s="229" t="n">
        <f aca="false">Model!BI254</f>
        <v>59176</v>
      </c>
      <c r="BH26" s="229" t="n">
        <f aca="false">Model!BJ254</f>
        <v>0</v>
      </c>
      <c r="BI26" s="229" t="n">
        <f aca="false">Model!BK254</f>
        <v>0</v>
      </c>
      <c r="BJ26" s="229" t="n">
        <f aca="false">Model!BL254</f>
        <v>59176</v>
      </c>
      <c r="BK26" s="229" t="n">
        <f aca="false">Model!BM254</f>
        <v>0</v>
      </c>
      <c r="BL26" s="229" t="n">
        <f aca="false">Model!BN254</f>
        <v>0</v>
      </c>
      <c r="BM26" s="229" t="n">
        <f aca="false">Model!BO254</f>
        <v>59176</v>
      </c>
      <c r="BN26" s="229" t="n">
        <f aca="false">Model!BP254</f>
        <v>0</v>
      </c>
      <c r="BO26" s="229" t="n">
        <f aca="false">Model!BQ254</f>
        <v>0</v>
      </c>
      <c r="BP26" s="229" t="n">
        <f aca="false">Model!BR254</f>
        <v>67763</v>
      </c>
      <c r="BQ26" s="229" t="n">
        <f aca="false">Model!BS254</f>
        <v>0</v>
      </c>
      <c r="BR26" s="229" t="n">
        <f aca="false">Model!BT254</f>
        <v>0</v>
      </c>
      <c r="BS26" s="229" t="n">
        <f aca="false">Model!BU254</f>
        <v>67762</v>
      </c>
      <c r="BT26" s="229" t="n">
        <f aca="false">Model!BV254</f>
        <v>0</v>
      </c>
      <c r="BU26" s="229" t="n">
        <f aca="false">Model!BW254</f>
        <v>0</v>
      </c>
      <c r="BV26" s="229" t="n">
        <f aca="false">Model!BX254</f>
        <v>67762</v>
      </c>
      <c r="BW26" s="229" t="n">
        <f aca="false">Model!BY254</f>
        <v>0</v>
      </c>
      <c r="BX26" s="229" t="n">
        <f aca="false">Model!BZ254</f>
        <v>0</v>
      </c>
      <c r="BY26" s="229" t="n">
        <f aca="false">Model!CA254</f>
        <v>67762</v>
      </c>
      <c r="BZ26" s="229" t="n">
        <f aca="false">Model!CB254</f>
        <v>0</v>
      </c>
      <c r="CA26" s="229" t="n">
        <f aca="false">Model!CC254</f>
        <v>0</v>
      </c>
      <c r="CB26" s="229" t="n">
        <f aca="false">Model!CD254</f>
        <v>76499</v>
      </c>
      <c r="CC26" s="229" t="n">
        <f aca="false">Model!CE254</f>
        <v>0</v>
      </c>
      <c r="CD26" s="229" t="n">
        <f aca="false">Model!CF254</f>
        <v>0</v>
      </c>
      <c r="CE26" s="229" t="n">
        <f aca="false">Model!CG254</f>
        <v>76499</v>
      </c>
      <c r="CF26" s="229" t="n">
        <f aca="false">Model!CH254</f>
        <v>0</v>
      </c>
      <c r="CG26" s="229" t="n">
        <f aca="false">Model!CI254</f>
        <v>0</v>
      </c>
      <c r="CH26" s="229" t="n">
        <f aca="false">Model!CJ254</f>
        <v>76499</v>
      </c>
    </row>
    <row r="27" customFormat="false" ht="15" hidden="false" customHeight="true" outlineLevel="0" collapsed="false">
      <c r="A27" s="233" t="s">
        <v>758</v>
      </c>
      <c r="B27" s="3"/>
      <c r="C27" s="234" t="n">
        <f aca="false">Model!E289</f>
        <v>-0</v>
      </c>
      <c r="D27" s="234" t="n">
        <f aca="false">Model!F289</f>
        <v>-0</v>
      </c>
      <c r="E27" s="234" t="n">
        <f aca="false">Model!G289</f>
        <v>-0</v>
      </c>
      <c r="F27" s="234" t="n">
        <f aca="false">Model!H289</f>
        <v>-0</v>
      </c>
      <c r="G27" s="234" t="n">
        <f aca="false">Model!I289</f>
        <v>0</v>
      </c>
      <c r="H27" s="234" t="n">
        <f aca="false">Model!J289</f>
        <v>-0</v>
      </c>
      <c r="I27" s="234" t="n">
        <f aca="false">Model!K289</f>
        <v>-0</v>
      </c>
      <c r="J27" s="234" t="n">
        <f aca="false">Model!L289</f>
        <v>-0</v>
      </c>
      <c r="K27" s="234" t="n">
        <f aca="false">Model!M289</f>
        <v>-0</v>
      </c>
      <c r="L27" s="234" t="n">
        <f aca="false">Model!N289</f>
        <v>-0</v>
      </c>
      <c r="M27" s="234" t="n">
        <f aca="false">Model!O289</f>
        <v>-0</v>
      </c>
      <c r="N27" s="234" t="n">
        <f aca="false">Model!P289</f>
        <v>-0</v>
      </c>
      <c r="O27" s="234" t="n">
        <f aca="false">Model!Q289</f>
        <v>-0</v>
      </c>
      <c r="P27" s="234" t="n">
        <f aca="false">Model!R289</f>
        <v>-0</v>
      </c>
      <c r="Q27" s="234" t="n">
        <f aca="false">Model!S289</f>
        <v>-0</v>
      </c>
      <c r="R27" s="234" t="n">
        <f aca="false">Model!T289</f>
        <v>-0</v>
      </c>
      <c r="S27" s="234" t="n">
        <f aca="false">Model!U289</f>
        <v>-0</v>
      </c>
      <c r="T27" s="234" t="n">
        <f aca="false">Model!V289</f>
        <v>-0</v>
      </c>
      <c r="U27" s="234" t="n">
        <f aca="false">Model!W289</f>
        <v>-0</v>
      </c>
      <c r="V27" s="234" t="n">
        <f aca="false">Model!X289</f>
        <v>-0</v>
      </c>
      <c r="W27" s="234" t="n">
        <f aca="false">Model!Y289</f>
        <v>-0</v>
      </c>
      <c r="X27" s="234" t="n">
        <f aca="false">Model!Z289</f>
        <v>-0</v>
      </c>
      <c r="Y27" s="234" t="n">
        <f aca="false">Model!AA289</f>
        <v>-0</v>
      </c>
      <c r="Z27" s="234" t="n">
        <f aca="false">Model!AB289</f>
        <v>-0</v>
      </c>
      <c r="AA27" s="234" t="n">
        <f aca="false">Model!AC289</f>
        <v>-0</v>
      </c>
      <c r="AB27" s="234" t="n">
        <f aca="false">Model!AD289</f>
        <v>-0</v>
      </c>
      <c r="AC27" s="234" t="n">
        <f aca="false">Model!AE289</f>
        <v>-0</v>
      </c>
      <c r="AD27" s="234" t="n">
        <f aca="false">Model!AF289</f>
        <v>-0</v>
      </c>
      <c r="AE27" s="234" t="n">
        <f aca="false">Model!AG289</f>
        <v>-0</v>
      </c>
      <c r="AF27" s="234" t="n">
        <f aca="false">Model!AH289</f>
        <v>-0</v>
      </c>
      <c r="AG27" s="234" t="n">
        <f aca="false">Model!AI289</f>
        <v>-0</v>
      </c>
      <c r="AH27" s="234" t="n">
        <f aca="false">Model!AJ289</f>
        <v>-0</v>
      </c>
      <c r="AI27" s="234" t="n">
        <f aca="false">Model!AK289</f>
        <v>-0</v>
      </c>
      <c r="AJ27" s="234" t="n">
        <f aca="false">Model!AL289</f>
        <v>-0</v>
      </c>
      <c r="AK27" s="234" t="n">
        <f aca="false">Model!AM289</f>
        <v>-0</v>
      </c>
      <c r="AL27" s="234" t="n">
        <f aca="false">Model!AN289</f>
        <v>-0</v>
      </c>
      <c r="AM27" s="234" t="n">
        <f aca="false">Model!AO289</f>
        <v>-0</v>
      </c>
      <c r="AN27" s="234" t="n">
        <f aca="false">Model!AP289</f>
        <v>-0</v>
      </c>
      <c r="AO27" s="234" t="n">
        <f aca="false">Model!AQ289</f>
        <v>-0</v>
      </c>
      <c r="AP27" s="234" t="n">
        <f aca="false">Model!AR289</f>
        <v>-0</v>
      </c>
      <c r="AQ27" s="234" t="n">
        <f aca="false">Model!AS289</f>
        <v>-0</v>
      </c>
      <c r="AR27" s="234" t="n">
        <f aca="false">Model!AT289</f>
        <v>-81683</v>
      </c>
      <c r="AS27" s="234" t="n">
        <f aca="false">Model!AU289</f>
        <v>-0</v>
      </c>
      <c r="AT27" s="234" t="n">
        <f aca="false">Model!AV289</f>
        <v>-0</v>
      </c>
      <c r="AU27" s="234" t="n">
        <f aca="false">Model!AW289</f>
        <v>-81682</v>
      </c>
      <c r="AV27" s="234" t="n">
        <f aca="false">Model!AX289</f>
        <v>-0</v>
      </c>
      <c r="AW27" s="234" t="n">
        <f aca="false">Model!AY289</f>
        <v>-0</v>
      </c>
      <c r="AX27" s="234" t="n">
        <f aca="false">Model!AZ289</f>
        <v>-81682</v>
      </c>
      <c r="AY27" s="234" t="n">
        <f aca="false">Model!BA289</f>
        <v>-0</v>
      </c>
      <c r="AZ27" s="234" t="n">
        <f aca="false">Model!BB289</f>
        <v>-0</v>
      </c>
      <c r="BA27" s="234" t="n">
        <f aca="false">Model!BC289</f>
        <v>-81682</v>
      </c>
      <c r="BB27" s="234" t="n">
        <f aca="false">Model!BD289</f>
        <v>-0</v>
      </c>
      <c r="BC27" s="234" t="n">
        <f aca="false">Model!BE289</f>
        <v>-0</v>
      </c>
      <c r="BD27" s="234" t="n">
        <f aca="false">Model!BF289</f>
        <v>-59178</v>
      </c>
      <c r="BE27" s="234" t="n">
        <f aca="false">Model!BG289</f>
        <v>-0</v>
      </c>
      <c r="BF27" s="234" t="n">
        <f aca="false">Model!BH289</f>
        <v>-0</v>
      </c>
      <c r="BG27" s="234" t="n">
        <f aca="false">Model!BI289</f>
        <v>-59176</v>
      </c>
      <c r="BH27" s="234" t="n">
        <f aca="false">Model!BJ289</f>
        <v>-0</v>
      </c>
      <c r="BI27" s="234" t="n">
        <f aca="false">Model!BK289</f>
        <v>-0</v>
      </c>
      <c r="BJ27" s="234" t="n">
        <f aca="false">Model!BL289</f>
        <v>-59176</v>
      </c>
      <c r="BK27" s="234" t="n">
        <f aca="false">Model!BM289</f>
        <v>-0</v>
      </c>
      <c r="BL27" s="234" t="n">
        <f aca="false">Model!BN289</f>
        <v>-0</v>
      </c>
      <c r="BM27" s="234" t="n">
        <f aca="false">Model!BO289</f>
        <v>-59176</v>
      </c>
      <c r="BN27" s="234" t="n">
        <f aca="false">Model!BP289</f>
        <v>-0</v>
      </c>
      <c r="BO27" s="234" t="n">
        <f aca="false">Model!BQ289</f>
        <v>-0</v>
      </c>
      <c r="BP27" s="234" t="n">
        <f aca="false">Model!BR289</f>
        <v>-14512.65</v>
      </c>
      <c r="BQ27" s="234" t="n">
        <f aca="false">Model!BS289</f>
        <v>-0</v>
      </c>
      <c r="BR27" s="234" t="n">
        <f aca="false">Model!BT289</f>
        <v>-0</v>
      </c>
      <c r="BS27" s="234" t="n">
        <f aca="false">Model!BU289</f>
        <v>-0</v>
      </c>
      <c r="BT27" s="234" t="n">
        <f aca="false">Model!BV289</f>
        <v>-0</v>
      </c>
      <c r="BU27" s="234" t="n">
        <f aca="false">Model!BW289</f>
        <v>-0</v>
      </c>
      <c r="BV27" s="234" t="n">
        <f aca="false">Model!BX289</f>
        <v>-0</v>
      </c>
      <c r="BW27" s="234" t="n">
        <f aca="false">Model!BY289</f>
        <v>-0</v>
      </c>
      <c r="BX27" s="234" t="n">
        <f aca="false">Model!BZ289</f>
        <v>-0</v>
      </c>
      <c r="BY27" s="234" t="n">
        <f aca="false">Model!CA289</f>
        <v>-0</v>
      </c>
      <c r="BZ27" s="234" t="n">
        <f aca="false">Model!CB289</f>
        <v>-0</v>
      </c>
      <c r="CA27" s="234" t="n">
        <f aca="false">Model!CC289</f>
        <v>-0</v>
      </c>
      <c r="CB27" s="234" t="n">
        <f aca="false">Model!CD289</f>
        <v>-0</v>
      </c>
      <c r="CC27" s="234" t="n">
        <f aca="false">Model!CE289</f>
        <v>-0</v>
      </c>
      <c r="CD27" s="234" t="n">
        <f aca="false">Model!CF289</f>
        <v>-0</v>
      </c>
      <c r="CE27" s="234" t="n">
        <f aca="false">Model!CG289</f>
        <v>-0</v>
      </c>
      <c r="CF27" s="234" t="n">
        <f aca="false">Model!CH289</f>
        <v>-0</v>
      </c>
      <c r="CG27" s="234" t="n">
        <f aca="false">Model!CI289</f>
        <v>-0</v>
      </c>
      <c r="CH27" s="234" t="n">
        <f aca="false">Model!CJ289</f>
        <v>-0</v>
      </c>
    </row>
    <row r="28" customFormat="false" ht="15" hidden="false" customHeight="true" outlineLevel="0" collapsed="false">
      <c r="A28" s="230" t="s">
        <v>756</v>
      </c>
      <c r="B28" s="230"/>
      <c r="C28" s="231" t="n">
        <f aca="false">C26+C27</f>
        <v>0</v>
      </c>
      <c r="D28" s="231" t="n">
        <f aca="false">D26+D27</f>
        <v>0</v>
      </c>
      <c r="E28" s="231" t="n">
        <f aca="false">E26+E27</f>
        <v>0</v>
      </c>
      <c r="F28" s="231" t="n">
        <f aca="false">F26+F27</f>
        <v>0</v>
      </c>
      <c r="G28" s="231" t="n">
        <f aca="false">G26+G27</f>
        <v>127514</v>
      </c>
      <c r="H28" s="231" t="n">
        <f aca="false">H26+H27</f>
        <v>0</v>
      </c>
      <c r="I28" s="231" t="n">
        <f aca="false">I26+I27</f>
        <v>0</v>
      </c>
      <c r="J28" s="231" t="n">
        <f aca="false">J26+J27</f>
        <v>0</v>
      </c>
      <c r="K28" s="231" t="n">
        <f aca="false">K26+K27</f>
        <v>0</v>
      </c>
      <c r="L28" s="231" t="n">
        <f aca="false">L26+L27</f>
        <v>0</v>
      </c>
      <c r="M28" s="231" t="n">
        <f aca="false">M26+M27</f>
        <v>0</v>
      </c>
      <c r="N28" s="231" t="n">
        <f aca="false">N26+N27</f>
        <v>0</v>
      </c>
      <c r="O28" s="231" t="n">
        <f aca="false">O26+O27</f>
        <v>0</v>
      </c>
      <c r="P28" s="231" t="n">
        <f aca="false">P26+P27</f>
        <v>0</v>
      </c>
      <c r="Q28" s="231" t="n">
        <f aca="false">Q26+Q27</f>
        <v>0</v>
      </c>
      <c r="R28" s="231" t="n">
        <f aca="false">R26+R27</f>
        <v>0</v>
      </c>
      <c r="S28" s="231" t="n">
        <f aca="false">S26+S27</f>
        <v>0</v>
      </c>
      <c r="T28" s="231" t="n">
        <f aca="false">T26+T27</f>
        <v>0</v>
      </c>
      <c r="U28" s="231" t="n">
        <f aca="false">U26+U27</f>
        <v>0</v>
      </c>
      <c r="V28" s="231" t="n">
        <f aca="false">V26+V27</f>
        <v>0</v>
      </c>
      <c r="W28" s="231" t="n">
        <f aca="false">W26+W27</f>
        <v>0</v>
      </c>
      <c r="X28" s="231" t="n">
        <f aca="false">X26+X27</f>
        <v>0</v>
      </c>
      <c r="Y28" s="231" t="n">
        <f aca="false">Y26+Y27</f>
        <v>0</v>
      </c>
      <c r="Z28" s="231" t="n">
        <f aca="false">Z26+Z27</f>
        <v>0</v>
      </c>
      <c r="AA28" s="231" t="n">
        <f aca="false">AA26+AA27</f>
        <v>0</v>
      </c>
      <c r="AB28" s="231" t="n">
        <f aca="false">AB26+AB27</f>
        <v>0</v>
      </c>
      <c r="AC28" s="231" t="n">
        <f aca="false">AC26+AC27</f>
        <v>0</v>
      </c>
      <c r="AD28" s="231" t="n">
        <f aca="false">AD26+AD27</f>
        <v>0</v>
      </c>
      <c r="AE28" s="231" t="n">
        <f aca="false">AE26+AE27</f>
        <v>0</v>
      </c>
      <c r="AF28" s="231" t="n">
        <f aca="false">AF26+AF27</f>
        <v>0</v>
      </c>
      <c r="AG28" s="231" t="n">
        <f aca="false">AG26+AG27</f>
        <v>0</v>
      </c>
      <c r="AH28" s="231" t="n">
        <f aca="false">AH26+AH27</f>
        <v>0</v>
      </c>
      <c r="AI28" s="231" t="n">
        <f aca="false">AI26+AI27</f>
        <v>0</v>
      </c>
      <c r="AJ28" s="231" t="n">
        <f aca="false">AJ26+AJ27</f>
        <v>0</v>
      </c>
      <c r="AK28" s="231" t="n">
        <f aca="false">AK26+AK27</f>
        <v>0</v>
      </c>
      <c r="AL28" s="231" t="n">
        <f aca="false">AL26+AL27</f>
        <v>0</v>
      </c>
      <c r="AM28" s="231" t="n">
        <f aca="false">AM26+AM27</f>
        <v>0</v>
      </c>
      <c r="AN28" s="231" t="n">
        <f aca="false">AN26+AN27</f>
        <v>0</v>
      </c>
      <c r="AO28" s="231" t="n">
        <f aca="false">AO26+AO27</f>
        <v>0</v>
      </c>
      <c r="AP28" s="231" t="n">
        <f aca="false">AP26+AP27</f>
        <v>0</v>
      </c>
      <c r="AQ28" s="231" t="n">
        <f aca="false">AQ26+AQ27</f>
        <v>0</v>
      </c>
      <c r="AR28" s="231" t="n">
        <f aca="false">AR26+AR27</f>
        <v>0</v>
      </c>
      <c r="AS28" s="231" t="n">
        <f aca="false">AS26+AS27</f>
        <v>0</v>
      </c>
      <c r="AT28" s="231" t="n">
        <f aca="false">AT26+AT27</f>
        <v>0</v>
      </c>
      <c r="AU28" s="231" t="n">
        <f aca="false">AU26+AU27</f>
        <v>0</v>
      </c>
      <c r="AV28" s="231" t="n">
        <f aca="false">AV26+AV27</f>
        <v>0</v>
      </c>
      <c r="AW28" s="231" t="n">
        <f aca="false">AW26+AW27</f>
        <v>0</v>
      </c>
      <c r="AX28" s="231" t="n">
        <f aca="false">AX26+AX27</f>
        <v>0</v>
      </c>
      <c r="AY28" s="231" t="n">
        <f aca="false">AY26+AY27</f>
        <v>0</v>
      </c>
      <c r="AZ28" s="231" t="n">
        <f aca="false">AZ26+AZ27</f>
        <v>0</v>
      </c>
      <c r="BA28" s="231" t="n">
        <f aca="false">BA26+BA27</f>
        <v>0</v>
      </c>
      <c r="BB28" s="231" t="n">
        <f aca="false">BB26+BB27</f>
        <v>0</v>
      </c>
      <c r="BC28" s="231" t="n">
        <f aca="false">BC26+BC27</f>
        <v>0</v>
      </c>
      <c r="BD28" s="231" t="n">
        <f aca="false">BD26+BD27</f>
        <v>0</v>
      </c>
      <c r="BE28" s="231" t="n">
        <f aca="false">BE26+BE27</f>
        <v>0</v>
      </c>
      <c r="BF28" s="231" t="n">
        <f aca="false">BF26+BF27</f>
        <v>0</v>
      </c>
      <c r="BG28" s="231" t="n">
        <f aca="false">BG26+BG27</f>
        <v>0</v>
      </c>
      <c r="BH28" s="231" t="n">
        <f aca="false">BH26+BH27</f>
        <v>0</v>
      </c>
      <c r="BI28" s="231" t="n">
        <f aca="false">BI26+BI27</f>
        <v>0</v>
      </c>
      <c r="BJ28" s="231" t="n">
        <f aca="false">BJ26+BJ27</f>
        <v>0</v>
      </c>
      <c r="BK28" s="231" t="n">
        <f aca="false">BK26+BK27</f>
        <v>0</v>
      </c>
      <c r="BL28" s="231" t="n">
        <f aca="false">BL26+BL27</f>
        <v>0</v>
      </c>
      <c r="BM28" s="231" t="n">
        <f aca="false">BM26+BM27</f>
        <v>0</v>
      </c>
      <c r="BN28" s="231" t="n">
        <f aca="false">BN26+BN27</f>
        <v>0</v>
      </c>
      <c r="BO28" s="231" t="n">
        <f aca="false">BO26+BO27</f>
        <v>0</v>
      </c>
      <c r="BP28" s="231" t="n">
        <f aca="false">BP26+BP27</f>
        <v>53250.35</v>
      </c>
      <c r="BQ28" s="231" t="n">
        <f aca="false">BQ26+BQ27</f>
        <v>0</v>
      </c>
      <c r="BR28" s="231" t="n">
        <f aca="false">BR26+BR27</f>
        <v>0</v>
      </c>
      <c r="BS28" s="231" t="n">
        <f aca="false">BS26+BS27</f>
        <v>67762</v>
      </c>
      <c r="BT28" s="231" t="n">
        <f aca="false">BT26+BT27</f>
        <v>0</v>
      </c>
      <c r="BU28" s="231" t="n">
        <f aca="false">BU26+BU27</f>
        <v>0</v>
      </c>
      <c r="BV28" s="231" t="n">
        <f aca="false">BV26+BV27</f>
        <v>67762</v>
      </c>
      <c r="BW28" s="231" t="n">
        <f aca="false">BW26+BW27</f>
        <v>0</v>
      </c>
      <c r="BX28" s="231" t="n">
        <f aca="false">BX26+BX27</f>
        <v>0</v>
      </c>
      <c r="BY28" s="231" t="n">
        <f aca="false">BY26+BY27</f>
        <v>67762</v>
      </c>
      <c r="BZ28" s="231" t="n">
        <f aca="false">BZ26+BZ27</f>
        <v>0</v>
      </c>
      <c r="CA28" s="231" t="n">
        <f aca="false">CA26+CA27</f>
        <v>0</v>
      </c>
      <c r="CB28" s="231" t="n">
        <f aca="false">CB26+CB27</f>
        <v>76499</v>
      </c>
      <c r="CC28" s="231" t="n">
        <f aca="false">CC26+CC27</f>
        <v>0</v>
      </c>
      <c r="CD28" s="231" t="n">
        <f aca="false">CD26+CD27</f>
        <v>0</v>
      </c>
      <c r="CE28" s="231" t="n">
        <f aca="false">CE26+CE27</f>
        <v>76499</v>
      </c>
      <c r="CF28" s="231" t="n">
        <f aca="false">CF26+CF27</f>
        <v>0</v>
      </c>
      <c r="CG28" s="231" t="n">
        <f aca="false">CG26+CG27</f>
        <v>0</v>
      </c>
      <c r="CH28" s="231" t="n">
        <f aca="false">CH26+CH27</f>
        <v>76499</v>
      </c>
    </row>
    <row r="29" customFormat="false" ht="15" hidden="false" customHeight="true" outlineLevel="0" collapsed="false">
      <c r="A29" s="2" t="s">
        <v>757</v>
      </c>
      <c r="B29" s="3"/>
      <c r="C29" s="232" t="n">
        <f aca="false">C28</f>
        <v>0</v>
      </c>
      <c r="D29" s="232" t="n">
        <f aca="false">C29+D28</f>
        <v>0</v>
      </c>
      <c r="E29" s="232" t="n">
        <f aca="false">D29+E28</f>
        <v>0</v>
      </c>
      <c r="F29" s="232" t="n">
        <f aca="false">E29+F28</f>
        <v>0</v>
      </c>
      <c r="G29" s="232" t="n">
        <f aca="false">F29+G28</f>
        <v>127514</v>
      </c>
      <c r="H29" s="232" t="n">
        <f aca="false">G29+H28</f>
        <v>127514</v>
      </c>
      <c r="I29" s="232" t="n">
        <f aca="false">H29+I28</f>
        <v>127514</v>
      </c>
      <c r="J29" s="232" t="n">
        <f aca="false">I29+J28</f>
        <v>127514</v>
      </c>
      <c r="K29" s="232" t="n">
        <f aca="false">J29+K28</f>
        <v>127514</v>
      </c>
      <c r="L29" s="232" t="n">
        <f aca="false">K29+L28</f>
        <v>127514</v>
      </c>
      <c r="M29" s="232" t="n">
        <f aca="false">L29+M28</f>
        <v>127514</v>
      </c>
      <c r="N29" s="232" t="n">
        <f aca="false">M29+N28</f>
        <v>127514</v>
      </c>
      <c r="O29" s="232" t="n">
        <f aca="false">N29+O28</f>
        <v>127514</v>
      </c>
      <c r="P29" s="232" t="n">
        <f aca="false">O29+P28</f>
        <v>127514</v>
      </c>
      <c r="Q29" s="232" t="n">
        <f aca="false">P29+Q28</f>
        <v>127514</v>
      </c>
      <c r="R29" s="232" t="n">
        <f aca="false">Q29+R28</f>
        <v>127514</v>
      </c>
      <c r="S29" s="232" t="n">
        <f aca="false">R29+S28</f>
        <v>127514</v>
      </c>
      <c r="T29" s="232" t="n">
        <f aca="false">S29+T28</f>
        <v>127514</v>
      </c>
      <c r="U29" s="232" t="n">
        <f aca="false">T29+U28</f>
        <v>127514</v>
      </c>
      <c r="V29" s="232" t="n">
        <f aca="false">U29+V28</f>
        <v>127514</v>
      </c>
      <c r="W29" s="232" t="n">
        <f aca="false">V29+W28</f>
        <v>127514</v>
      </c>
      <c r="X29" s="232" t="n">
        <f aca="false">W29+X28</f>
        <v>127514</v>
      </c>
      <c r="Y29" s="232" t="n">
        <f aca="false">X29+Y28</f>
        <v>127514</v>
      </c>
      <c r="Z29" s="232" t="n">
        <f aca="false">Y29+Z28</f>
        <v>127514</v>
      </c>
      <c r="AA29" s="232" t="n">
        <f aca="false">Z29+AA28</f>
        <v>127514</v>
      </c>
      <c r="AB29" s="232" t="n">
        <f aca="false">AA29+AB28</f>
        <v>127514</v>
      </c>
      <c r="AC29" s="232" t="n">
        <f aca="false">AB29+AC28</f>
        <v>127514</v>
      </c>
      <c r="AD29" s="232" t="n">
        <f aca="false">AC29+AD28</f>
        <v>127514</v>
      </c>
      <c r="AE29" s="232" t="n">
        <f aca="false">AD29+AE28</f>
        <v>127514</v>
      </c>
      <c r="AF29" s="232" t="n">
        <f aca="false">AE29+AF28</f>
        <v>127514</v>
      </c>
      <c r="AG29" s="232" t="n">
        <f aca="false">AF29+AG28</f>
        <v>127514</v>
      </c>
      <c r="AH29" s="232" t="n">
        <f aca="false">AG29+AH28</f>
        <v>127514</v>
      </c>
      <c r="AI29" s="232" t="n">
        <f aca="false">AH29+AI28</f>
        <v>127514</v>
      </c>
      <c r="AJ29" s="232" t="n">
        <f aca="false">AI29+AJ28</f>
        <v>127514</v>
      </c>
      <c r="AK29" s="232" t="n">
        <f aca="false">AJ29+AK28</f>
        <v>127514</v>
      </c>
      <c r="AL29" s="232" t="n">
        <f aca="false">AK29+AL28</f>
        <v>127514</v>
      </c>
      <c r="AM29" s="232" t="n">
        <f aca="false">AL29+AM28</f>
        <v>127514</v>
      </c>
      <c r="AN29" s="232" t="n">
        <f aca="false">AM29+AN28</f>
        <v>127514</v>
      </c>
      <c r="AO29" s="232" t="n">
        <f aca="false">AN29+AO28</f>
        <v>127514</v>
      </c>
      <c r="AP29" s="232" t="n">
        <f aca="false">AO29+AP28</f>
        <v>127514</v>
      </c>
      <c r="AQ29" s="232" t="n">
        <f aca="false">AP29+AQ28</f>
        <v>127514</v>
      </c>
      <c r="AR29" s="232" t="n">
        <f aca="false">AQ29+AR28</f>
        <v>127514</v>
      </c>
      <c r="AS29" s="232" t="n">
        <f aca="false">AR29+AS28</f>
        <v>127514</v>
      </c>
      <c r="AT29" s="232" t="n">
        <f aca="false">AS29+AT28</f>
        <v>127514</v>
      </c>
      <c r="AU29" s="232" t="n">
        <f aca="false">AT29+AU28</f>
        <v>127514</v>
      </c>
      <c r="AV29" s="232" t="n">
        <f aca="false">AU29+AV28</f>
        <v>127514</v>
      </c>
      <c r="AW29" s="232" t="n">
        <f aca="false">AV29+AW28</f>
        <v>127514</v>
      </c>
      <c r="AX29" s="232" t="n">
        <f aca="false">AW29+AX28</f>
        <v>127514</v>
      </c>
      <c r="AY29" s="232" t="n">
        <f aca="false">AX29+AY28</f>
        <v>127514</v>
      </c>
      <c r="AZ29" s="232" t="n">
        <f aca="false">AY29+AZ28</f>
        <v>127514</v>
      </c>
      <c r="BA29" s="232" t="n">
        <f aca="false">AZ29+BA28</f>
        <v>127514</v>
      </c>
      <c r="BB29" s="232" t="n">
        <f aca="false">BA29+BB28</f>
        <v>127514</v>
      </c>
      <c r="BC29" s="232" t="n">
        <f aca="false">BB29+BC28</f>
        <v>127514</v>
      </c>
      <c r="BD29" s="232" t="n">
        <f aca="false">BC29+BD28</f>
        <v>127514</v>
      </c>
      <c r="BE29" s="232" t="n">
        <f aca="false">BD29+BE28</f>
        <v>127514</v>
      </c>
      <c r="BF29" s="232" t="n">
        <f aca="false">BE29+BF28</f>
        <v>127514</v>
      </c>
      <c r="BG29" s="232" t="n">
        <f aca="false">BF29+BG28</f>
        <v>127514</v>
      </c>
      <c r="BH29" s="232" t="n">
        <f aca="false">BG29+BH28</f>
        <v>127514</v>
      </c>
      <c r="BI29" s="232" t="n">
        <f aca="false">BH29+BI28</f>
        <v>127514</v>
      </c>
      <c r="BJ29" s="232" t="n">
        <f aca="false">BI29+BJ28</f>
        <v>127514</v>
      </c>
      <c r="BK29" s="232" t="n">
        <f aca="false">BJ29+BK28</f>
        <v>127514</v>
      </c>
      <c r="BL29" s="232" t="n">
        <f aca="false">BK29+BL28</f>
        <v>127514</v>
      </c>
      <c r="BM29" s="232" t="n">
        <f aca="false">BL29+BM28</f>
        <v>127514</v>
      </c>
      <c r="BN29" s="232" t="n">
        <f aca="false">BM29+BN28</f>
        <v>127514</v>
      </c>
      <c r="BO29" s="232" t="n">
        <f aca="false">BN29+BO28</f>
        <v>127514</v>
      </c>
      <c r="BP29" s="232" t="n">
        <f aca="false">BO29+BP28</f>
        <v>180764.35</v>
      </c>
      <c r="BQ29" s="232" t="n">
        <f aca="false">BP29+BQ28</f>
        <v>180764.35</v>
      </c>
      <c r="BR29" s="232" t="n">
        <f aca="false">BQ29+BR28</f>
        <v>180764.35</v>
      </c>
      <c r="BS29" s="232" t="n">
        <f aca="false">BR29+BS28</f>
        <v>248526.35</v>
      </c>
      <c r="BT29" s="232" t="n">
        <f aca="false">BS29+BT28</f>
        <v>248526.35</v>
      </c>
      <c r="BU29" s="232" t="n">
        <f aca="false">BT29+BU28</f>
        <v>248526.35</v>
      </c>
      <c r="BV29" s="232" t="n">
        <f aca="false">BU29+BV28</f>
        <v>316288.35</v>
      </c>
      <c r="BW29" s="232" t="n">
        <f aca="false">BV29+BW28</f>
        <v>316288.35</v>
      </c>
      <c r="BX29" s="232" t="n">
        <f aca="false">BW29+BX28</f>
        <v>316288.35</v>
      </c>
      <c r="BY29" s="232" t="n">
        <f aca="false">BX29+BY28</f>
        <v>384050.35</v>
      </c>
      <c r="BZ29" s="232" t="n">
        <f aca="false">BY29+BZ28</f>
        <v>384050.35</v>
      </c>
      <c r="CA29" s="232" t="n">
        <f aca="false">BZ29+CA28</f>
        <v>384050.35</v>
      </c>
      <c r="CB29" s="232" t="n">
        <f aca="false">CA29+CB28</f>
        <v>460549.35</v>
      </c>
      <c r="CC29" s="232" t="n">
        <f aca="false">CB29+CC28</f>
        <v>460549.35</v>
      </c>
      <c r="CD29" s="232" t="n">
        <f aca="false">CC29+CD28</f>
        <v>460549.35</v>
      </c>
      <c r="CE29" s="232" t="n">
        <f aca="false">CD29+CE28</f>
        <v>537048.35</v>
      </c>
      <c r="CF29" s="232" t="n">
        <f aca="false">CE29+CF28</f>
        <v>537048.35</v>
      </c>
      <c r="CG29" s="232" t="n">
        <f aca="false">CF29+CG28</f>
        <v>537048.35</v>
      </c>
      <c r="CH29" s="23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755</v>
      </c>
      <c r="B32" s="3"/>
      <c r="C32" s="229" t="n">
        <f aca="false">Model!E255</f>
        <v>0</v>
      </c>
      <c r="D32" s="229" t="n">
        <f aca="false">Model!F255</f>
        <v>0</v>
      </c>
      <c r="E32" s="229" t="n">
        <f aca="false">Model!G255</f>
        <v>0</v>
      </c>
      <c r="F32" s="229" t="n">
        <f aca="false">Model!H255</f>
        <v>0</v>
      </c>
      <c r="G32" s="229" t="n">
        <f aca="false">Model!I255</f>
        <v>0</v>
      </c>
      <c r="H32" s="229" t="n">
        <f aca="false">Model!J255</f>
        <v>0</v>
      </c>
      <c r="I32" s="229" t="n">
        <f aca="false">Model!K255</f>
        <v>0</v>
      </c>
      <c r="J32" s="229" t="n">
        <f aca="false">Model!L255</f>
        <v>0</v>
      </c>
      <c r="K32" s="229" t="n">
        <f aca="false">Model!M255</f>
        <v>0</v>
      </c>
      <c r="L32" s="229" t="n">
        <f aca="false">Model!N255</f>
        <v>0</v>
      </c>
      <c r="M32" s="229" t="n">
        <f aca="false">Model!O255</f>
        <v>0</v>
      </c>
      <c r="N32" s="229" t="n">
        <f aca="false">Model!P255</f>
        <v>0</v>
      </c>
      <c r="O32" s="229" t="n">
        <f aca="false">Model!Q255</f>
        <v>0</v>
      </c>
      <c r="P32" s="229" t="n">
        <f aca="false">Model!R255</f>
        <v>0</v>
      </c>
      <c r="Q32" s="229" t="n">
        <f aca="false">Model!S255</f>
        <v>0</v>
      </c>
      <c r="R32" s="229" t="n">
        <f aca="false">Model!T255</f>
        <v>0</v>
      </c>
      <c r="S32" s="229" t="n">
        <f aca="false">Model!U255</f>
        <v>0</v>
      </c>
      <c r="T32" s="229" t="n">
        <f aca="false">Model!V255</f>
        <v>0</v>
      </c>
      <c r="U32" s="229" t="n">
        <f aca="false">Model!W255</f>
        <v>0</v>
      </c>
      <c r="V32" s="229" t="n">
        <f aca="false">Model!X255</f>
        <v>0</v>
      </c>
      <c r="W32" s="229" t="n">
        <f aca="false">Model!Y255</f>
        <v>0</v>
      </c>
      <c r="X32" s="229" t="n">
        <f aca="false">Model!Z255</f>
        <v>0</v>
      </c>
      <c r="Y32" s="229" t="n">
        <f aca="false">Model!AA255</f>
        <v>0</v>
      </c>
      <c r="Z32" s="229" t="n">
        <f aca="false">Model!AB255</f>
        <v>0</v>
      </c>
      <c r="AA32" s="229" t="n">
        <f aca="false">Model!AC255</f>
        <v>0</v>
      </c>
      <c r="AB32" s="229" t="n">
        <f aca="false">Model!AD255</f>
        <v>0</v>
      </c>
      <c r="AC32" s="229" t="n">
        <f aca="false">Model!AE255</f>
        <v>0</v>
      </c>
      <c r="AD32" s="229" t="n">
        <f aca="false">Model!AF255</f>
        <v>0</v>
      </c>
      <c r="AE32" s="229" t="n">
        <f aca="false">Model!AG255</f>
        <v>0</v>
      </c>
      <c r="AF32" s="229" t="n">
        <f aca="false">Model!AH255</f>
        <v>0</v>
      </c>
      <c r="AG32" s="229" t="n">
        <f aca="false">Model!AI255</f>
        <v>0</v>
      </c>
      <c r="AH32" s="229" t="n">
        <f aca="false">Model!AJ255</f>
        <v>0</v>
      </c>
      <c r="AI32" s="229" t="n">
        <f aca="false">Model!AK255</f>
        <v>0</v>
      </c>
      <c r="AJ32" s="229" t="n">
        <f aca="false">Model!AL255</f>
        <v>0</v>
      </c>
      <c r="AK32" s="229" t="n">
        <f aca="false">Model!AM255</f>
        <v>0</v>
      </c>
      <c r="AL32" s="229" t="n">
        <f aca="false">Model!AN255</f>
        <v>0</v>
      </c>
      <c r="AM32" s="229" t="n">
        <f aca="false">Model!AO255</f>
        <v>0</v>
      </c>
      <c r="AN32" s="229" t="n">
        <f aca="false">Model!AP255</f>
        <v>0</v>
      </c>
      <c r="AO32" s="229" t="n">
        <f aca="false">Model!AQ255</f>
        <v>0</v>
      </c>
      <c r="AP32" s="229" t="n">
        <f aca="false">Model!AR255</f>
        <v>0</v>
      </c>
      <c r="AQ32" s="229" t="n">
        <f aca="false">Model!AS255</f>
        <v>0</v>
      </c>
      <c r="AR32" s="229" t="n">
        <f aca="false">Model!AT255</f>
        <v>0</v>
      </c>
      <c r="AS32" s="229" t="n">
        <f aca="false">Model!AU255</f>
        <v>0</v>
      </c>
      <c r="AT32" s="229" t="n">
        <f aca="false">Model!AV255</f>
        <v>0</v>
      </c>
      <c r="AU32" s="229" t="n">
        <f aca="false">Model!AW255</f>
        <v>0</v>
      </c>
      <c r="AV32" s="229" t="n">
        <f aca="false">Model!AX255</f>
        <v>0</v>
      </c>
      <c r="AW32" s="229" t="n">
        <f aca="false">Model!AY255</f>
        <v>0</v>
      </c>
      <c r="AX32" s="229" t="n">
        <f aca="false">Model!AZ255</f>
        <v>0</v>
      </c>
      <c r="AY32" s="229" t="n">
        <f aca="false">Model!BA255</f>
        <v>0</v>
      </c>
      <c r="AZ32" s="229" t="n">
        <f aca="false">Model!BB255</f>
        <v>0</v>
      </c>
      <c r="BA32" s="229" t="n">
        <f aca="false">Model!BC255</f>
        <v>851839</v>
      </c>
      <c r="BB32" s="229" t="n">
        <f aca="false">Model!BD255</f>
        <v>0</v>
      </c>
      <c r="BC32" s="229" t="n">
        <f aca="false">Model!BE255</f>
        <v>0</v>
      </c>
      <c r="BD32" s="229" t="n">
        <f aca="false">Model!BF255</f>
        <v>71700</v>
      </c>
      <c r="BE32" s="229" t="n">
        <f aca="false">Model!BG255</f>
        <v>0</v>
      </c>
      <c r="BF32" s="229" t="n">
        <f aca="false">Model!BH255</f>
        <v>0</v>
      </c>
      <c r="BG32" s="229" t="n">
        <f aca="false">Model!BI255</f>
        <v>71700</v>
      </c>
      <c r="BH32" s="229" t="n">
        <f aca="false">Model!BJ255</f>
        <v>0</v>
      </c>
      <c r="BI32" s="229" t="n">
        <f aca="false">Model!BK255</f>
        <v>0</v>
      </c>
      <c r="BJ32" s="229" t="n">
        <f aca="false">Model!BL255</f>
        <v>71700</v>
      </c>
      <c r="BK32" s="229" t="n">
        <f aca="false">Model!BM255</f>
        <v>0</v>
      </c>
      <c r="BL32" s="229" t="n">
        <f aca="false">Model!BN255</f>
        <v>0</v>
      </c>
      <c r="BM32" s="229" t="n">
        <f aca="false">Model!BO255</f>
        <v>71700</v>
      </c>
      <c r="BN32" s="229" t="n">
        <f aca="false">Model!BP255</f>
        <v>0</v>
      </c>
      <c r="BO32" s="229" t="n">
        <f aca="false">Model!BQ255</f>
        <v>0</v>
      </c>
      <c r="BP32" s="229" t="n">
        <f aca="false">Model!BR255</f>
        <v>74643</v>
      </c>
      <c r="BQ32" s="229" t="n">
        <f aca="false">Model!BS255</f>
        <v>0</v>
      </c>
      <c r="BR32" s="229" t="n">
        <f aca="false">Model!BT255</f>
        <v>0</v>
      </c>
      <c r="BS32" s="229" t="n">
        <f aca="false">Model!BU255</f>
        <v>74640</v>
      </c>
      <c r="BT32" s="229" t="n">
        <f aca="false">Model!BV255</f>
        <v>0</v>
      </c>
      <c r="BU32" s="229" t="n">
        <f aca="false">Model!BW255</f>
        <v>0</v>
      </c>
      <c r="BV32" s="229" t="n">
        <f aca="false">Model!BX255</f>
        <v>74640</v>
      </c>
      <c r="BW32" s="229" t="n">
        <f aca="false">Model!BY255</f>
        <v>0</v>
      </c>
      <c r="BX32" s="229" t="n">
        <f aca="false">Model!BZ255</f>
        <v>0</v>
      </c>
      <c r="BY32" s="229" t="n">
        <f aca="false">Model!CA255</f>
        <v>74640</v>
      </c>
      <c r="BZ32" s="229" t="n">
        <f aca="false">Model!CB255</f>
        <v>0</v>
      </c>
      <c r="CA32" s="229" t="n">
        <f aca="false">Model!CC255</f>
        <v>0</v>
      </c>
      <c r="CB32" s="229" t="n">
        <f aca="false">Model!CD255</f>
        <v>81363</v>
      </c>
      <c r="CC32" s="229" t="n">
        <f aca="false">Model!CE255</f>
        <v>0</v>
      </c>
      <c r="CD32" s="229" t="n">
        <f aca="false">Model!CF255</f>
        <v>0</v>
      </c>
      <c r="CE32" s="229" t="n">
        <f aca="false">Model!CG255</f>
        <v>81362</v>
      </c>
      <c r="CF32" s="229" t="n">
        <f aca="false">Model!CH255</f>
        <v>0</v>
      </c>
      <c r="CG32" s="229" t="n">
        <f aca="false">Model!CI255</f>
        <v>0</v>
      </c>
      <c r="CH32" s="229" t="n">
        <f aca="false">Model!CJ255</f>
        <v>81362</v>
      </c>
    </row>
    <row r="33" customFormat="false" ht="15" hidden="false" customHeight="true" outlineLevel="0" collapsed="false">
      <c r="A33" s="233" t="s">
        <v>758</v>
      </c>
      <c r="B33" s="3"/>
      <c r="C33" s="234" t="n">
        <f aca="false">Model!E290</f>
        <v>-0</v>
      </c>
      <c r="D33" s="234" t="n">
        <f aca="false">Model!F290</f>
        <v>-0</v>
      </c>
      <c r="E33" s="234" t="n">
        <f aca="false">Model!G290</f>
        <v>-0</v>
      </c>
      <c r="F33" s="234" t="n">
        <f aca="false">Model!H290</f>
        <v>-0</v>
      </c>
      <c r="G33" s="234" t="n">
        <f aca="false">Model!I290</f>
        <v>-0</v>
      </c>
      <c r="H33" s="234" t="n">
        <f aca="false">Model!J290</f>
        <v>-0</v>
      </c>
      <c r="I33" s="234" t="n">
        <f aca="false">Model!K290</f>
        <v>-0</v>
      </c>
      <c r="J33" s="234" t="n">
        <f aca="false">Model!L290</f>
        <v>-0</v>
      </c>
      <c r="K33" s="234" t="n">
        <f aca="false">Model!M290</f>
        <v>-0</v>
      </c>
      <c r="L33" s="234" t="n">
        <f aca="false">Model!N290</f>
        <v>-0</v>
      </c>
      <c r="M33" s="234" t="n">
        <f aca="false">Model!O290</f>
        <v>-0</v>
      </c>
      <c r="N33" s="234" t="n">
        <f aca="false">Model!P290</f>
        <v>-0</v>
      </c>
      <c r="O33" s="234" t="n">
        <f aca="false">Model!Q290</f>
        <v>-0</v>
      </c>
      <c r="P33" s="234" t="n">
        <f aca="false">Model!R290</f>
        <v>-0</v>
      </c>
      <c r="Q33" s="234" t="n">
        <f aca="false">Model!S290</f>
        <v>-0</v>
      </c>
      <c r="R33" s="234" t="n">
        <f aca="false">Model!T290</f>
        <v>-0</v>
      </c>
      <c r="S33" s="234" t="n">
        <f aca="false">Model!U290</f>
        <v>-0</v>
      </c>
      <c r="T33" s="234" t="n">
        <f aca="false">Model!V290</f>
        <v>-0</v>
      </c>
      <c r="U33" s="234" t="n">
        <f aca="false">Model!W290</f>
        <v>-0</v>
      </c>
      <c r="V33" s="234" t="n">
        <f aca="false">Model!X290</f>
        <v>-0</v>
      </c>
      <c r="W33" s="234" t="n">
        <f aca="false">Model!Y290</f>
        <v>-0</v>
      </c>
      <c r="X33" s="234" t="n">
        <f aca="false">Model!Z290</f>
        <v>-0</v>
      </c>
      <c r="Y33" s="234" t="n">
        <f aca="false">Model!AA290</f>
        <v>-0</v>
      </c>
      <c r="Z33" s="234" t="n">
        <f aca="false">Model!AB290</f>
        <v>-0</v>
      </c>
      <c r="AA33" s="234" t="n">
        <f aca="false">Model!AC290</f>
        <v>-0</v>
      </c>
      <c r="AB33" s="234" t="n">
        <f aca="false">Model!AD290</f>
        <v>-0</v>
      </c>
      <c r="AC33" s="234" t="n">
        <f aca="false">Model!AE290</f>
        <v>-0</v>
      </c>
      <c r="AD33" s="234" t="n">
        <f aca="false">Model!AF290</f>
        <v>-0</v>
      </c>
      <c r="AE33" s="234" t="n">
        <f aca="false">Model!AG290</f>
        <v>-0</v>
      </c>
      <c r="AF33" s="234" t="n">
        <f aca="false">Model!AH290</f>
        <v>-0</v>
      </c>
      <c r="AG33" s="234" t="n">
        <f aca="false">Model!AI290</f>
        <v>-0</v>
      </c>
      <c r="AH33" s="234" t="n">
        <f aca="false">Model!AJ290</f>
        <v>-0</v>
      </c>
      <c r="AI33" s="234" t="n">
        <f aca="false">Model!AK290</f>
        <v>-0</v>
      </c>
      <c r="AJ33" s="234" t="n">
        <f aca="false">Model!AL290</f>
        <v>-0</v>
      </c>
      <c r="AK33" s="234" t="n">
        <f aca="false">Model!AM290</f>
        <v>-0</v>
      </c>
      <c r="AL33" s="234" t="n">
        <f aca="false">Model!AN290</f>
        <v>-0</v>
      </c>
      <c r="AM33" s="234" t="n">
        <f aca="false">Model!AO290</f>
        <v>-0</v>
      </c>
      <c r="AN33" s="234" t="n">
        <f aca="false">Model!AP290</f>
        <v>-0</v>
      </c>
      <c r="AO33" s="234" t="n">
        <f aca="false">Model!AQ290</f>
        <v>-0</v>
      </c>
      <c r="AP33" s="234" t="n">
        <f aca="false">Model!AR290</f>
        <v>-0</v>
      </c>
      <c r="AQ33" s="234" t="n">
        <f aca="false">Model!AS290</f>
        <v>-0</v>
      </c>
      <c r="AR33" s="234" t="n">
        <f aca="false">Model!AT290</f>
        <v>-0</v>
      </c>
      <c r="AS33" s="234" t="n">
        <f aca="false">Model!AU290</f>
        <v>-0</v>
      </c>
      <c r="AT33" s="234" t="n">
        <f aca="false">Model!AV290</f>
        <v>-0</v>
      </c>
      <c r="AU33" s="234" t="n">
        <f aca="false">Model!AW290</f>
        <v>-0</v>
      </c>
      <c r="AV33" s="234" t="n">
        <f aca="false">Model!AX290</f>
        <v>-0</v>
      </c>
      <c r="AW33" s="234" t="n">
        <f aca="false">Model!AY290</f>
        <v>-0</v>
      </c>
      <c r="AX33" s="234" t="n">
        <f aca="false">Model!AZ290</f>
        <v>-0</v>
      </c>
      <c r="AY33" s="234" t="n">
        <f aca="false">Model!BA290</f>
        <v>-0</v>
      </c>
      <c r="AZ33" s="234" t="n">
        <f aca="false">Model!BB290</f>
        <v>-0</v>
      </c>
      <c r="BA33" s="234" t="n">
        <f aca="false">Model!BC290</f>
        <v>-851839</v>
      </c>
      <c r="BB33" s="234" t="n">
        <f aca="false">Model!BD290</f>
        <v>-0</v>
      </c>
      <c r="BC33" s="234" t="n">
        <f aca="false">Model!BE290</f>
        <v>-0</v>
      </c>
      <c r="BD33" s="234" t="n">
        <f aca="false">Model!BF290</f>
        <v>-71700</v>
      </c>
      <c r="BE33" s="234" t="n">
        <f aca="false">Model!BG290</f>
        <v>-0</v>
      </c>
      <c r="BF33" s="234" t="n">
        <f aca="false">Model!BH290</f>
        <v>-0</v>
      </c>
      <c r="BG33" s="234" t="n">
        <f aca="false">Model!BI290</f>
        <v>-71700</v>
      </c>
      <c r="BH33" s="234" t="n">
        <f aca="false">Model!BJ290</f>
        <v>-0</v>
      </c>
      <c r="BI33" s="234" t="n">
        <f aca="false">Model!BK290</f>
        <v>-0</v>
      </c>
      <c r="BJ33" s="234" t="n">
        <f aca="false">Model!BL290</f>
        <v>-71700</v>
      </c>
      <c r="BK33" s="234" t="n">
        <f aca="false">Model!BM290</f>
        <v>-0</v>
      </c>
      <c r="BL33" s="234" t="n">
        <f aca="false">Model!BN290</f>
        <v>-0</v>
      </c>
      <c r="BM33" s="234" t="n">
        <f aca="false">Model!BO290</f>
        <v>-71700</v>
      </c>
      <c r="BN33" s="234" t="n">
        <f aca="false">Model!BP290</f>
        <v>-0</v>
      </c>
      <c r="BO33" s="234" t="n">
        <f aca="false">Model!BQ290</f>
        <v>-0</v>
      </c>
      <c r="BP33" s="234" t="n">
        <f aca="false">Model!BR290</f>
        <v>-74643</v>
      </c>
      <c r="BQ33" s="234" t="n">
        <f aca="false">Model!BS290</f>
        <v>-0</v>
      </c>
      <c r="BR33" s="234" t="n">
        <f aca="false">Model!BT290</f>
        <v>-0</v>
      </c>
      <c r="BS33" s="234" t="n">
        <f aca="false">Model!BU290</f>
        <v>-74640</v>
      </c>
      <c r="BT33" s="234" t="n">
        <f aca="false">Model!BV290</f>
        <v>-0</v>
      </c>
      <c r="BU33" s="234" t="n">
        <f aca="false">Model!BW290</f>
        <v>-0</v>
      </c>
      <c r="BV33" s="234" t="n">
        <f aca="false">Model!BX290</f>
        <v>-74640</v>
      </c>
      <c r="BW33" s="234" t="n">
        <f aca="false">Model!BY290</f>
        <v>-0</v>
      </c>
      <c r="BX33" s="234" t="n">
        <f aca="false">Model!BZ290</f>
        <v>-0</v>
      </c>
      <c r="BY33" s="234" t="n">
        <f aca="false">Model!CA290</f>
        <v>-74640</v>
      </c>
      <c r="BZ33" s="234" t="n">
        <f aca="false">Model!CB290</f>
        <v>-0</v>
      </c>
      <c r="CA33" s="234" t="n">
        <f aca="false">Model!CC290</f>
        <v>-0</v>
      </c>
      <c r="CB33" s="234" t="n">
        <f aca="false">Model!CD290</f>
        <v>-81363</v>
      </c>
      <c r="CC33" s="234" t="n">
        <f aca="false">Model!CE290</f>
        <v>-0</v>
      </c>
      <c r="CD33" s="234" t="n">
        <f aca="false">Model!CF290</f>
        <v>-0</v>
      </c>
      <c r="CE33" s="234" t="n">
        <f aca="false">Model!CG290</f>
        <v>-81362</v>
      </c>
      <c r="CF33" s="234" t="n">
        <f aca="false">Model!CH290</f>
        <v>-0</v>
      </c>
      <c r="CG33" s="234" t="n">
        <f aca="false">Model!CI290</f>
        <v>-0</v>
      </c>
      <c r="CH33" s="234" t="n">
        <f aca="false">Model!CJ290</f>
        <v>-74753.9733935208</v>
      </c>
    </row>
    <row r="34" customFormat="false" ht="15" hidden="false" customHeight="true" outlineLevel="0" collapsed="false">
      <c r="A34" s="233" t="s">
        <v>309</v>
      </c>
      <c r="B34" s="3"/>
      <c r="C34" s="234" t="n">
        <f aca="false">Model!E379</f>
        <v>0</v>
      </c>
      <c r="D34" s="234" t="n">
        <f aca="false">Model!F379</f>
        <v>0</v>
      </c>
      <c r="E34" s="234" t="n">
        <f aca="false">Model!G379</f>
        <v>0</v>
      </c>
      <c r="F34" s="234" t="n">
        <f aca="false">Model!H379</f>
        <v>0</v>
      </c>
      <c r="G34" s="234" t="n">
        <f aca="false">Model!I379</f>
        <v>0</v>
      </c>
      <c r="H34" s="234" t="n">
        <f aca="false">Model!J379</f>
        <v>0</v>
      </c>
      <c r="I34" s="234" t="n">
        <f aca="false">Model!K379</f>
        <v>0</v>
      </c>
      <c r="J34" s="234" t="n">
        <f aca="false">Model!L379</f>
        <v>0</v>
      </c>
      <c r="K34" s="234" t="n">
        <f aca="false">Model!M379</f>
        <v>0</v>
      </c>
      <c r="L34" s="234" t="n">
        <f aca="false">Model!N379</f>
        <v>0</v>
      </c>
      <c r="M34" s="234" t="n">
        <f aca="false">Model!O379</f>
        <v>0</v>
      </c>
      <c r="N34" s="234" t="n">
        <f aca="false">Model!P379</f>
        <v>0</v>
      </c>
      <c r="O34" s="234" t="n">
        <f aca="false">Model!Q379</f>
        <v>0</v>
      </c>
      <c r="P34" s="234" t="n">
        <f aca="false">Model!R379</f>
        <v>0</v>
      </c>
      <c r="Q34" s="234" t="n">
        <f aca="false">Model!S379</f>
        <v>0</v>
      </c>
      <c r="R34" s="234" t="n">
        <f aca="false">Model!T379</f>
        <v>0</v>
      </c>
      <c r="S34" s="234" t="n">
        <f aca="false">Model!U379</f>
        <v>0</v>
      </c>
      <c r="T34" s="234" t="n">
        <f aca="false">Model!V379</f>
        <v>0</v>
      </c>
      <c r="U34" s="234" t="n">
        <f aca="false">Model!W379</f>
        <v>0</v>
      </c>
      <c r="V34" s="234" t="n">
        <f aca="false">Model!X379</f>
        <v>0</v>
      </c>
      <c r="W34" s="234" t="n">
        <f aca="false">Model!Y379</f>
        <v>0</v>
      </c>
      <c r="X34" s="234" t="n">
        <f aca="false">Model!Z379</f>
        <v>0</v>
      </c>
      <c r="Y34" s="234" t="n">
        <f aca="false">Model!AA379</f>
        <v>0</v>
      </c>
      <c r="Z34" s="234" t="n">
        <f aca="false">Model!AB379</f>
        <v>0</v>
      </c>
      <c r="AA34" s="234" t="n">
        <f aca="false">Model!AC379</f>
        <v>0</v>
      </c>
      <c r="AB34" s="234" t="n">
        <f aca="false">Model!AD379</f>
        <v>0</v>
      </c>
      <c r="AC34" s="234" t="n">
        <f aca="false">Model!AE379</f>
        <v>0</v>
      </c>
      <c r="AD34" s="234" t="n">
        <f aca="false">Model!AF379</f>
        <v>0</v>
      </c>
      <c r="AE34" s="234" t="n">
        <f aca="false">Model!AG379</f>
        <v>0</v>
      </c>
      <c r="AF34" s="234" t="n">
        <f aca="false">Model!AH379</f>
        <v>0</v>
      </c>
      <c r="AG34" s="234" t="n">
        <f aca="false">Model!AI379</f>
        <v>0</v>
      </c>
      <c r="AH34" s="234" t="n">
        <f aca="false">Model!AJ379</f>
        <v>0</v>
      </c>
      <c r="AI34" s="234" t="n">
        <f aca="false">Model!AK379</f>
        <v>0</v>
      </c>
      <c r="AJ34" s="234" t="n">
        <f aca="false">Model!AL379</f>
        <v>0</v>
      </c>
      <c r="AK34" s="234" t="n">
        <f aca="false">Model!AM379</f>
        <v>0</v>
      </c>
      <c r="AL34" s="234" t="n">
        <f aca="false">Model!AN379</f>
        <v>0</v>
      </c>
      <c r="AM34" s="234" t="n">
        <f aca="false">Model!AO379</f>
        <v>0</v>
      </c>
      <c r="AN34" s="234" t="n">
        <f aca="false">Model!AP379</f>
        <v>0</v>
      </c>
      <c r="AO34" s="234" t="n">
        <f aca="false">Model!AQ379</f>
        <v>0</v>
      </c>
      <c r="AP34" s="234" t="n">
        <f aca="false">Model!AR379</f>
        <v>0</v>
      </c>
      <c r="AQ34" s="234" t="n">
        <f aca="false">Model!AS379</f>
        <v>0</v>
      </c>
      <c r="AR34" s="234" t="n">
        <f aca="false">Model!AT379</f>
        <v>0</v>
      </c>
      <c r="AS34" s="234" t="n">
        <f aca="false">Model!AU379</f>
        <v>0</v>
      </c>
      <c r="AT34" s="234" t="n">
        <f aca="false">Model!AV379</f>
        <v>0</v>
      </c>
      <c r="AU34" s="234" t="n">
        <f aca="false">Model!AW379</f>
        <v>0</v>
      </c>
      <c r="AV34" s="234" t="n">
        <f aca="false">Model!AX379</f>
        <v>0</v>
      </c>
      <c r="AW34" s="234" t="n">
        <f aca="false">Model!AY379</f>
        <v>0</v>
      </c>
      <c r="AX34" s="234" t="n">
        <f aca="false">Model!AZ379</f>
        <v>0</v>
      </c>
      <c r="AY34" s="234" t="n">
        <f aca="false">Model!BA379</f>
        <v>0</v>
      </c>
      <c r="AZ34" s="234" t="n">
        <f aca="false">Model!BB379</f>
        <v>0</v>
      </c>
      <c r="BA34" s="234" t="n">
        <f aca="false">Model!BC379</f>
        <v>0</v>
      </c>
      <c r="BB34" s="234" t="n">
        <f aca="false">Model!BD379</f>
        <v>0</v>
      </c>
      <c r="BC34" s="234" t="n">
        <f aca="false">Model!BE379</f>
        <v>0</v>
      </c>
      <c r="BD34" s="234" t="n">
        <f aca="false">Model!BF379</f>
        <v>0</v>
      </c>
      <c r="BE34" s="234" t="n">
        <f aca="false">Model!BG379</f>
        <v>0</v>
      </c>
      <c r="BF34" s="234" t="n">
        <f aca="false">Model!BH379</f>
        <v>0</v>
      </c>
      <c r="BG34" s="234" t="n">
        <f aca="false">Model!BI379</f>
        <v>0</v>
      </c>
      <c r="BH34" s="234" t="n">
        <f aca="false">Model!BJ379</f>
        <v>0</v>
      </c>
      <c r="BI34" s="234" t="n">
        <f aca="false">Model!BK379</f>
        <v>0</v>
      </c>
      <c r="BJ34" s="234" t="n">
        <f aca="false">Model!BL379</f>
        <v>0</v>
      </c>
      <c r="BK34" s="234" t="n">
        <f aca="false">Model!BM379</f>
        <v>0</v>
      </c>
      <c r="BL34" s="234" t="n">
        <f aca="false">Model!BN379</f>
        <v>0</v>
      </c>
      <c r="BM34" s="234" t="n">
        <f aca="false">Model!BO379</f>
        <v>0</v>
      </c>
      <c r="BN34" s="234" t="n">
        <f aca="false">Model!BP379</f>
        <v>0</v>
      </c>
      <c r="BO34" s="234" t="n">
        <f aca="false">Model!BQ379</f>
        <v>0</v>
      </c>
      <c r="BP34" s="234" t="n">
        <f aca="false">Model!BR379</f>
        <v>0</v>
      </c>
      <c r="BQ34" s="234" t="n">
        <f aca="false">Model!BS379</f>
        <v>0</v>
      </c>
      <c r="BR34" s="234" t="n">
        <f aca="false">Model!BT379</f>
        <v>0</v>
      </c>
      <c r="BS34" s="234" t="n">
        <f aca="false">Model!BU379</f>
        <v>0</v>
      </c>
      <c r="BT34" s="234" t="n">
        <f aca="false">Model!BV379</f>
        <v>0</v>
      </c>
      <c r="BU34" s="234" t="n">
        <f aca="false">Model!BW379</f>
        <v>0</v>
      </c>
      <c r="BV34" s="234" t="n">
        <f aca="false">Model!BX379</f>
        <v>0</v>
      </c>
      <c r="BW34" s="234" t="n">
        <f aca="false">Model!BY379</f>
        <v>0</v>
      </c>
      <c r="BX34" s="234" t="n">
        <f aca="false">Model!BZ379</f>
        <v>0</v>
      </c>
      <c r="BY34" s="234" t="n">
        <f aca="false">Model!CA379</f>
        <v>0</v>
      </c>
      <c r="BZ34" s="234" t="n">
        <f aca="false">Model!CB379</f>
        <v>0</v>
      </c>
      <c r="CA34" s="234" t="n">
        <f aca="false">Model!CC379</f>
        <v>0</v>
      </c>
      <c r="CB34" s="234" t="n">
        <f aca="false">Model!CD379</f>
        <v>0</v>
      </c>
      <c r="CC34" s="234" t="n">
        <f aca="false">Model!CE379</f>
        <v>0</v>
      </c>
      <c r="CD34" s="234" t="n">
        <f aca="false">Model!CF379</f>
        <v>0</v>
      </c>
      <c r="CE34" s="234" t="n">
        <f aca="false">Model!CG379</f>
        <v>0</v>
      </c>
      <c r="CF34" s="234" t="n">
        <f aca="false">Model!CH379</f>
        <v>0</v>
      </c>
      <c r="CG34" s="234" t="n">
        <f aca="false">Model!CI379</f>
        <v>0</v>
      </c>
      <c r="CH34" s="234" t="n">
        <f aca="false">Model!CJ379</f>
        <v>0</v>
      </c>
    </row>
    <row r="35" customFormat="false" ht="15" hidden="false" customHeight="true" outlineLevel="0" collapsed="false">
      <c r="A35" s="230" t="s">
        <v>756</v>
      </c>
      <c r="B35" s="230"/>
      <c r="C35" s="231" t="n">
        <f aca="false">C32+C33+C34</f>
        <v>0</v>
      </c>
      <c r="D35" s="231" t="n">
        <f aca="false">D32+D33+D34</f>
        <v>0</v>
      </c>
      <c r="E35" s="231" t="n">
        <f aca="false">E32+E33+E34</f>
        <v>0</v>
      </c>
      <c r="F35" s="231" t="n">
        <f aca="false">F32+F33+F34</f>
        <v>0</v>
      </c>
      <c r="G35" s="231" t="n">
        <f aca="false">G32+G33+G34</f>
        <v>0</v>
      </c>
      <c r="H35" s="231" t="n">
        <f aca="false">H32+H33+H34</f>
        <v>0</v>
      </c>
      <c r="I35" s="231" t="n">
        <f aca="false">I32+I33+I34</f>
        <v>0</v>
      </c>
      <c r="J35" s="231" t="n">
        <f aca="false">J32+J33+J34</f>
        <v>0</v>
      </c>
      <c r="K35" s="231" t="n">
        <f aca="false">K32+K33+K34</f>
        <v>0</v>
      </c>
      <c r="L35" s="231" t="n">
        <f aca="false">L32+L33+L34</f>
        <v>0</v>
      </c>
      <c r="M35" s="231" t="n">
        <f aca="false">M32+M33+M34</f>
        <v>0</v>
      </c>
      <c r="N35" s="231" t="n">
        <f aca="false">N32+N33+N34</f>
        <v>0</v>
      </c>
      <c r="O35" s="231" t="n">
        <f aca="false">O32+O33+O34</f>
        <v>0</v>
      </c>
      <c r="P35" s="231" t="n">
        <f aca="false">P32+P33+P34</f>
        <v>0</v>
      </c>
      <c r="Q35" s="231" t="n">
        <f aca="false">Q32+Q33+Q34</f>
        <v>0</v>
      </c>
      <c r="R35" s="231" t="n">
        <f aca="false">R32+R33+R34</f>
        <v>0</v>
      </c>
      <c r="S35" s="231" t="n">
        <f aca="false">S32+S33+S34</f>
        <v>0</v>
      </c>
      <c r="T35" s="231" t="n">
        <f aca="false">T32+T33+T34</f>
        <v>0</v>
      </c>
      <c r="U35" s="231" t="n">
        <f aca="false">U32+U33+U34</f>
        <v>0</v>
      </c>
      <c r="V35" s="231" t="n">
        <f aca="false">V32+V33+V34</f>
        <v>0</v>
      </c>
      <c r="W35" s="231" t="n">
        <f aca="false">W32+W33+W34</f>
        <v>0</v>
      </c>
      <c r="X35" s="231" t="n">
        <f aca="false">X32+X33+X34</f>
        <v>0</v>
      </c>
      <c r="Y35" s="231" t="n">
        <f aca="false">Y32+Y33+Y34</f>
        <v>0</v>
      </c>
      <c r="Z35" s="231" t="n">
        <f aca="false">Z32+Z33+Z34</f>
        <v>0</v>
      </c>
      <c r="AA35" s="231" t="n">
        <f aca="false">AA32+AA33+AA34</f>
        <v>0</v>
      </c>
      <c r="AB35" s="231" t="n">
        <f aca="false">AB32+AB33+AB34</f>
        <v>0</v>
      </c>
      <c r="AC35" s="231" t="n">
        <f aca="false">AC32+AC33+AC34</f>
        <v>0</v>
      </c>
      <c r="AD35" s="231" t="n">
        <f aca="false">AD32+AD33+AD34</f>
        <v>0</v>
      </c>
      <c r="AE35" s="231" t="n">
        <f aca="false">AE32+AE33+AE34</f>
        <v>0</v>
      </c>
      <c r="AF35" s="231" t="n">
        <f aca="false">AF32+AF33+AF34</f>
        <v>0</v>
      </c>
      <c r="AG35" s="231" t="n">
        <f aca="false">AG32+AG33+AG34</f>
        <v>0</v>
      </c>
      <c r="AH35" s="231" t="n">
        <f aca="false">AH32+AH33+AH34</f>
        <v>0</v>
      </c>
      <c r="AI35" s="231" t="n">
        <f aca="false">AI32+AI33+AI34</f>
        <v>0</v>
      </c>
      <c r="AJ35" s="231" t="n">
        <f aca="false">AJ32+AJ33+AJ34</f>
        <v>0</v>
      </c>
      <c r="AK35" s="231" t="n">
        <f aca="false">AK32+AK33+AK34</f>
        <v>0</v>
      </c>
      <c r="AL35" s="231" t="n">
        <f aca="false">AL32+AL33+AL34</f>
        <v>0</v>
      </c>
      <c r="AM35" s="231" t="n">
        <f aca="false">AM32+AM33+AM34</f>
        <v>0</v>
      </c>
      <c r="AN35" s="231" t="n">
        <f aca="false">AN32+AN33+AN34</f>
        <v>0</v>
      </c>
      <c r="AO35" s="231" t="n">
        <f aca="false">AO32+AO33+AO34</f>
        <v>0</v>
      </c>
      <c r="AP35" s="231" t="n">
        <f aca="false">AP32+AP33+AP34</f>
        <v>0</v>
      </c>
      <c r="AQ35" s="231" t="n">
        <f aca="false">AQ32+AQ33+AQ34</f>
        <v>0</v>
      </c>
      <c r="AR35" s="231" t="n">
        <f aca="false">AR32+AR33+AR34</f>
        <v>0</v>
      </c>
      <c r="AS35" s="231" t="n">
        <f aca="false">AS32+AS33+AS34</f>
        <v>0</v>
      </c>
      <c r="AT35" s="231" t="n">
        <f aca="false">AT32+AT33+AT34</f>
        <v>0</v>
      </c>
      <c r="AU35" s="231" t="n">
        <f aca="false">AU32+AU33+AU34</f>
        <v>0</v>
      </c>
      <c r="AV35" s="231" t="n">
        <f aca="false">AV32+AV33+AV34</f>
        <v>0</v>
      </c>
      <c r="AW35" s="231" t="n">
        <f aca="false">AW32+AW33+AW34</f>
        <v>0</v>
      </c>
      <c r="AX35" s="231" t="n">
        <f aca="false">AX32+AX33+AX34</f>
        <v>0</v>
      </c>
      <c r="AY35" s="231" t="n">
        <f aca="false">AY32+AY33+AY34</f>
        <v>0</v>
      </c>
      <c r="AZ35" s="231" t="n">
        <f aca="false">AZ32+AZ33+AZ34</f>
        <v>0</v>
      </c>
      <c r="BA35" s="231" t="n">
        <f aca="false">BA32+BA33+BA34</f>
        <v>0</v>
      </c>
      <c r="BB35" s="231" t="n">
        <f aca="false">BB32+BB33+BB34</f>
        <v>0</v>
      </c>
      <c r="BC35" s="231" t="n">
        <f aca="false">BC32+BC33+BC34</f>
        <v>0</v>
      </c>
      <c r="BD35" s="231" t="n">
        <f aca="false">BD32+BD33+BD34</f>
        <v>0</v>
      </c>
      <c r="BE35" s="231" t="n">
        <f aca="false">BE32+BE33+BE34</f>
        <v>0</v>
      </c>
      <c r="BF35" s="231" t="n">
        <f aca="false">BF32+BF33+BF34</f>
        <v>0</v>
      </c>
      <c r="BG35" s="231" t="n">
        <f aca="false">BG32+BG33+BG34</f>
        <v>0</v>
      </c>
      <c r="BH35" s="231" t="n">
        <f aca="false">BH32+BH33+BH34</f>
        <v>0</v>
      </c>
      <c r="BI35" s="231" t="n">
        <f aca="false">BI32+BI33+BI34</f>
        <v>0</v>
      </c>
      <c r="BJ35" s="231" t="n">
        <f aca="false">BJ32+BJ33+BJ34</f>
        <v>0</v>
      </c>
      <c r="BK35" s="231" t="n">
        <f aca="false">BK32+BK33+BK34</f>
        <v>0</v>
      </c>
      <c r="BL35" s="231" t="n">
        <f aca="false">BL32+BL33+BL34</f>
        <v>0</v>
      </c>
      <c r="BM35" s="231" t="n">
        <f aca="false">BM32+BM33+BM34</f>
        <v>0</v>
      </c>
      <c r="BN35" s="231" t="n">
        <f aca="false">BN32+BN33+BN34</f>
        <v>0</v>
      </c>
      <c r="BO35" s="231" t="n">
        <f aca="false">BO32+BO33+BO34</f>
        <v>0</v>
      </c>
      <c r="BP35" s="231" t="n">
        <f aca="false">BP32+BP33+BP34</f>
        <v>0</v>
      </c>
      <c r="BQ35" s="231" t="n">
        <f aca="false">BQ32+BQ33+BQ34</f>
        <v>0</v>
      </c>
      <c r="BR35" s="231" t="n">
        <f aca="false">BR32+BR33+BR34</f>
        <v>0</v>
      </c>
      <c r="BS35" s="231" t="n">
        <f aca="false">BS32+BS33+BS34</f>
        <v>0</v>
      </c>
      <c r="BT35" s="231" t="n">
        <f aca="false">BT32+BT33+BT34</f>
        <v>0</v>
      </c>
      <c r="BU35" s="231" t="n">
        <f aca="false">BU32+BU33+BU34</f>
        <v>0</v>
      </c>
      <c r="BV35" s="231" t="n">
        <f aca="false">BV32+BV33+BV34</f>
        <v>0</v>
      </c>
      <c r="BW35" s="231" t="n">
        <f aca="false">BW32+BW33+BW34</f>
        <v>0</v>
      </c>
      <c r="BX35" s="231" t="n">
        <f aca="false">BX32+BX33+BX34</f>
        <v>0</v>
      </c>
      <c r="BY35" s="231" t="n">
        <f aca="false">BY32+BY33+BY34</f>
        <v>0</v>
      </c>
      <c r="BZ35" s="231" t="n">
        <f aca="false">BZ32+BZ33+BZ34</f>
        <v>0</v>
      </c>
      <c r="CA35" s="231" t="n">
        <f aca="false">CA32+CA33+CA34</f>
        <v>0</v>
      </c>
      <c r="CB35" s="231" t="n">
        <f aca="false">CB32+CB33+CB34</f>
        <v>0</v>
      </c>
      <c r="CC35" s="231" t="n">
        <f aca="false">CC32+CC33+CC34</f>
        <v>0</v>
      </c>
      <c r="CD35" s="231" t="n">
        <f aca="false">CD32+CD33+CD34</f>
        <v>0</v>
      </c>
      <c r="CE35" s="231" t="n">
        <f aca="false">CE32+CE33+CE34</f>
        <v>0</v>
      </c>
      <c r="CF35" s="231" t="n">
        <f aca="false">CF32+CF33+CF34</f>
        <v>0</v>
      </c>
      <c r="CG35" s="231" t="n">
        <f aca="false">CG32+CG33+CG34</f>
        <v>0</v>
      </c>
      <c r="CH35" s="231" t="n">
        <f aca="false">CH32+CH33+CH34</f>
        <v>6608.02660647922</v>
      </c>
    </row>
    <row r="36" customFormat="false" ht="15" hidden="false" customHeight="true" outlineLevel="0" collapsed="false">
      <c r="A36" s="2" t="s">
        <v>757</v>
      </c>
      <c r="B36" s="3"/>
      <c r="C36" s="232" t="n">
        <f aca="false">C35</f>
        <v>0</v>
      </c>
      <c r="D36" s="232" t="n">
        <f aca="false">C36+D35</f>
        <v>0</v>
      </c>
      <c r="E36" s="232" t="n">
        <f aca="false">D36+E35</f>
        <v>0</v>
      </c>
      <c r="F36" s="232" t="n">
        <f aca="false">E36+F35</f>
        <v>0</v>
      </c>
      <c r="G36" s="232" t="n">
        <f aca="false">F36+G35</f>
        <v>0</v>
      </c>
      <c r="H36" s="232" t="n">
        <f aca="false">G36+H35</f>
        <v>0</v>
      </c>
      <c r="I36" s="232" t="n">
        <f aca="false">H36+I35</f>
        <v>0</v>
      </c>
      <c r="J36" s="232" t="n">
        <f aca="false">I36+J35</f>
        <v>0</v>
      </c>
      <c r="K36" s="232" t="n">
        <f aca="false">J36+K35</f>
        <v>0</v>
      </c>
      <c r="L36" s="232" t="n">
        <f aca="false">K36+L35</f>
        <v>0</v>
      </c>
      <c r="M36" s="232" t="n">
        <f aca="false">L36+M35</f>
        <v>0</v>
      </c>
      <c r="N36" s="232" t="n">
        <f aca="false">M36+N35</f>
        <v>0</v>
      </c>
      <c r="O36" s="232" t="n">
        <f aca="false">N36+O35</f>
        <v>0</v>
      </c>
      <c r="P36" s="232" t="n">
        <f aca="false">O36+P35</f>
        <v>0</v>
      </c>
      <c r="Q36" s="232" t="n">
        <f aca="false">P36+Q35</f>
        <v>0</v>
      </c>
      <c r="R36" s="232" t="n">
        <f aca="false">Q36+R35</f>
        <v>0</v>
      </c>
      <c r="S36" s="232" t="n">
        <f aca="false">R36+S35</f>
        <v>0</v>
      </c>
      <c r="T36" s="232" t="n">
        <f aca="false">S36+T35</f>
        <v>0</v>
      </c>
      <c r="U36" s="232" t="n">
        <f aca="false">T36+U35</f>
        <v>0</v>
      </c>
      <c r="V36" s="232" t="n">
        <f aca="false">U36+V35</f>
        <v>0</v>
      </c>
      <c r="W36" s="232" t="n">
        <f aca="false">V36+W35</f>
        <v>0</v>
      </c>
      <c r="X36" s="232" t="n">
        <f aca="false">W36+X35</f>
        <v>0</v>
      </c>
      <c r="Y36" s="232" t="n">
        <f aca="false">X36+Y35</f>
        <v>0</v>
      </c>
      <c r="Z36" s="232" t="n">
        <f aca="false">Y36+Z35</f>
        <v>0</v>
      </c>
      <c r="AA36" s="232" t="n">
        <f aca="false">Z36+AA35</f>
        <v>0</v>
      </c>
      <c r="AB36" s="232" t="n">
        <f aca="false">AA36+AB35</f>
        <v>0</v>
      </c>
      <c r="AC36" s="232" t="n">
        <f aca="false">AB36+AC35</f>
        <v>0</v>
      </c>
      <c r="AD36" s="232" t="n">
        <f aca="false">AC36+AD35</f>
        <v>0</v>
      </c>
      <c r="AE36" s="232" t="n">
        <f aca="false">AD36+AE35</f>
        <v>0</v>
      </c>
      <c r="AF36" s="232" t="n">
        <f aca="false">AE36+AF35</f>
        <v>0</v>
      </c>
      <c r="AG36" s="232" t="n">
        <f aca="false">AF36+AG35</f>
        <v>0</v>
      </c>
      <c r="AH36" s="232" t="n">
        <f aca="false">AG36+AH35</f>
        <v>0</v>
      </c>
      <c r="AI36" s="232" t="n">
        <f aca="false">AH36+AI35</f>
        <v>0</v>
      </c>
      <c r="AJ36" s="232" t="n">
        <f aca="false">AI36+AJ35</f>
        <v>0</v>
      </c>
      <c r="AK36" s="232" t="n">
        <f aca="false">AJ36+AK35</f>
        <v>0</v>
      </c>
      <c r="AL36" s="232" t="n">
        <f aca="false">AK36+AL35</f>
        <v>0</v>
      </c>
      <c r="AM36" s="232" t="n">
        <f aca="false">AL36+AM35</f>
        <v>0</v>
      </c>
      <c r="AN36" s="232" t="n">
        <f aca="false">AM36+AN35</f>
        <v>0</v>
      </c>
      <c r="AO36" s="232" t="n">
        <f aca="false">AN36+AO35</f>
        <v>0</v>
      </c>
      <c r="AP36" s="232" t="n">
        <f aca="false">AO36+AP35</f>
        <v>0</v>
      </c>
      <c r="AQ36" s="232" t="n">
        <f aca="false">AP36+AQ35</f>
        <v>0</v>
      </c>
      <c r="AR36" s="232" t="n">
        <f aca="false">AQ36+AR35</f>
        <v>0</v>
      </c>
      <c r="AS36" s="232" t="n">
        <f aca="false">AR36+AS35</f>
        <v>0</v>
      </c>
      <c r="AT36" s="232" t="n">
        <f aca="false">AS36+AT35</f>
        <v>0</v>
      </c>
      <c r="AU36" s="232" t="n">
        <f aca="false">AT36+AU35</f>
        <v>0</v>
      </c>
      <c r="AV36" s="232" t="n">
        <f aca="false">AU36+AV35</f>
        <v>0</v>
      </c>
      <c r="AW36" s="232" t="n">
        <f aca="false">AV36+AW35</f>
        <v>0</v>
      </c>
      <c r="AX36" s="232" t="n">
        <f aca="false">AW36+AX35</f>
        <v>0</v>
      </c>
      <c r="AY36" s="232" t="n">
        <f aca="false">AX36+AY35</f>
        <v>0</v>
      </c>
      <c r="AZ36" s="232" t="n">
        <f aca="false">AY36+AZ35</f>
        <v>0</v>
      </c>
      <c r="BA36" s="232" t="n">
        <f aca="false">AZ36+BA35</f>
        <v>0</v>
      </c>
      <c r="BB36" s="232" t="n">
        <f aca="false">BA36+BB35</f>
        <v>0</v>
      </c>
      <c r="BC36" s="232" t="n">
        <f aca="false">BB36+BC35</f>
        <v>0</v>
      </c>
      <c r="BD36" s="232" t="n">
        <f aca="false">BC36+BD35</f>
        <v>0</v>
      </c>
      <c r="BE36" s="232" t="n">
        <f aca="false">BD36+BE35</f>
        <v>0</v>
      </c>
      <c r="BF36" s="232" t="n">
        <f aca="false">BE36+BF35</f>
        <v>0</v>
      </c>
      <c r="BG36" s="232" t="n">
        <f aca="false">BF36+BG35</f>
        <v>0</v>
      </c>
      <c r="BH36" s="232" t="n">
        <f aca="false">BG36+BH35</f>
        <v>0</v>
      </c>
      <c r="BI36" s="232" t="n">
        <f aca="false">BH36+BI35</f>
        <v>0</v>
      </c>
      <c r="BJ36" s="232" t="n">
        <f aca="false">BI36+BJ35</f>
        <v>0</v>
      </c>
      <c r="BK36" s="232" t="n">
        <f aca="false">BJ36+BK35</f>
        <v>0</v>
      </c>
      <c r="BL36" s="232" t="n">
        <f aca="false">BK36+BL35</f>
        <v>0</v>
      </c>
      <c r="BM36" s="232" t="n">
        <f aca="false">BL36+BM35</f>
        <v>0</v>
      </c>
      <c r="BN36" s="232" t="n">
        <f aca="false">BM36+BN35</f>
        <v>0</v>
      </c>
      <c r="BO36" s="232" t="n">
        <f aca="false">BN36+BO35</f>
        <v>0</v>
      </c>
      <c r="BP36" s="232" t="n">
        <f aca="false">BO36+BP35</f>
        <v>0</v>
      </c>
      <c r="BQ36" s="232" t="n">
        <f aca="false">BP36+BQ35</f>
        <v>0</v>
      </c>
      <c r="BR36" s="232" t="n">
        <f aca="false">BQ36+BR35</f>
        <v>0</v>
      </c>
      <c r="BS36" s="232" t="n">
        <f aca="false">BR36+BS35</f>
        <v>0</v>
      </c>
      <c r="BT36" s="232" t="n">
        <f aca="false">BS36+BT35</f>
        <v>0</v>
      </c>
      <c r="BU36" s="232" t="n">
        <f aca="false">BT36+BU35</f>
        <v>0</v>
      </c>
      <c r="BV36" s="232" t="n">
        <f aca="false">BU36+BV35</f>
        <v>0</v>
      </c>
      <c r="BW36" s="232" t="n">
        <f aca="false">BV36+BW35</f>
        <v>0</v>
      </c>
      <c r="BX36" s="232" t="n">
        <f aca="false">BW36+BX35</f>
        <v>0</v>
      </c>
      <c r="BY36" s="232" t="n">
        <f aca="false">BX36+BY35</f>
        <v>0</v>
      </c>
      <c r="BZ36" s="232" t="n">
        <f aca="false">BY36+BZ35</f>
        <v>0</v>
      </c>
      <c r="CA36" s="232" t="n">
        <f aca="false">BZ36+CA35</f>
        <v>0</v>
      </c>
      <c r="CB36" s="232" t="n">
        <f aca="false">CA36+CB35</f>
        <v>0</v>
      </c>
      <c r="CC36" s="232" t="n">
        <f aca="false">CB36+CC35</f>
        <v>0</v>
      </c>
      <c r="CD36" s="232" t="n">
        <f aca="false">CC36+CD35</f>
        <v>0</v>
      </c>
      <c r="CE36" s="232" t="n">
        <f aca="false">CD36+CE35</f>
        <v>0</v>
      </c>
      <c r="CF36" s="232" t="n">
        <f aca="false">CE36+CF35</f>
        <v>0</v>
      </c>
      <c r="CG36" s="232" t="n">
        <f aca="false">CF36+CG35</f>
        <v>0</v>
      </c>
      <c r="CH36" s="23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755</v>
      </c>
      <c r="B39" s="3"/>
      <c r="C39" s="229" t="n">
        <v>0</v>
      </c>
      <c r="D39" s="229" t="n">
        <v>0</v>
      </c>
      <c r="E39" s="229" t="n">
        <v>0</v>
      </c>
      <c r="F39" s="229" t="n">
        <v>0</v>
      </c>
      <c r="G39" s="229" t="n">
        <v>0</v>
      </c>
      <c r="H39" s="229" t="n">
        <v>0</v>
      </c>
      <c r="I39" s="229" t="n">
        <v>0</v>
      </c>
      <c r="J39" s="229" t="n">
        <v>0</v>
      </c>
      <c r="K39" s="229" t="n">
        <v>0</v>
      </c>
      <c r="L39" s="229" t="n">
        <v>0</v>
      </c>
      <c r="M39" s="229" t="n">
        <v>0</v>
      </c>
      <c r="N39" s="229" t="n">
        <v>0</v>
      </c>
      <c r="O39" s="229" t="n">
        <v>0</v>
      </c>
      <c r="P39" s="229" t="n">
        <v>0</v>
      </c>
      <c r="Q39" s="229" t="n">
        <v>0</v>
      </c>
      <c r="R39" s="229" t="n">
        <v>0</v>
      </c>
      <c r="S39" s="229" t="n">
        <v>0</v>
      </c>
      <c r="T39" s="229" t="n">
        <v>0</v>
      </c>
      <c r="U39" s="229" t="n">
        <v>0</v>
      </c>
      <c r="V39" s="229" t="n">
        <v>0</v>
      </c>
      <c r="W39" s="229" t="n">
        <v>0</v>
      </c>
      <c r="X39" s="229" t="n">
        <v>0</v>
      </c>
      <c r="Y39" s="229" t="n">
        <v>0</v>
      </c>
      <c r="Z39" s="229" t="n">
        <v>0</v>
      </c>
      <c r="AA39" s="229" t="n">
        <v>0</v>
      </c>
      <c r="AB39" s="229" t="n">
        <v>0</v>
      </c>
      <c r="AC39" s="229" t="n">
        <v>0</v>
      </c>
      <c r="AD39" s="229" t="n">
        <v>0</v>
      </c>
      <c r="AE39" s="229" t="n">
        <v>0</v>
      </c>
      <c r="AF39" s="229" t="n">
        <v>0</v>
      </c>
      <c r="AG39" s="229" t="n">
        <v>0</v>
      </c>
      <c r="AH39" s="229" t="n">
        <v>0</v>
      </c>
      <c r="AI39" s="229" t="n">
        <v>0</v>
      </c>
      <c r="AJ39" s="229" t="n">
        <v>0</v>
      </c>
      <c r="AK39" s="229" t="n">
        <v>0</v>
      </c>
      <c r="AL39" s="229" t="n">
        <v>0</v>
      </c>
      <c r="AM39" s="229" t="n">
        <v>0</v>
      </c>
      <c r="AN39" s="229" t="n">
        <v>0</v>
      </c>
      <c r="AO39" s="229" t="n">
        <v>0</v>
      </c>
      <c r="AP39" s="229" t="n">
        <v>0</v>
      </c>
      <c r="AQ39" s="229" t="n">
        <v>0</v>
      </c>
      <c r="AR39" s="229" t="n">
        <v>0</v>
      </c>
      <c r="AS39" s="229" t="n">
        <v>0</v>
      </c>
      <c r="AT39" s="229" t="n">
        <v>0</v>
      </c>
      <c r="AU39" s="229" t="n">
        <v>0</v>
      </c>
      <c r="AV39" s="229" t="n">
        <v>0</v>
      </c>
      <c r="AW39" s="229" t="n">
        <v>0</v>
      </c>
      <c r="AX39" s="229" t="n">
        <v>0</v>
      </c>
      <c r="AY39" s="229" t="n">
        <v>0</v>
      </c>
      <c r="AZ39" s="229" t="n">
        <v>0</v>
      </c>
      <c r="BA39" s="229" t="n">
        <v>0</v>
      </c>
      <c r="BB39" s="229" t="n">
        <v>0</v>
      </c>
      <c r="BC39" s="229" t="n">
        <v>0</v>
      </c>
      <c r="BD39" s="229" t="n">
        <v>0</v>
      </c>
      <c r="BE39" s="229" t="n">
        <v>0</v>
      </c>
      <c r="BF39" s="229" t="n">
        <v>0</v>
      </c>
      <c r="BG39" s="229" t="n">
        <v>0</v>
      </c>
      <c r="BH39" s="229" t="n">
        <v>0</v>
      </c>
      <c r="BI39" s="229" t="n">
        <v>0</v>
      </c>
      <c r="BJ39" s="229" t="n">
        <v>0</v>
      </c>
      <c r="BK39" s="229" t="n">
        <v>0</v>
      </c>
      <c r="BL39" s="229" t="n">
        <v>0</v>
      </c>
      <c r="BM39" s="229" t="n">
        <v>0</v>
      </c>
      <c r="BN39" s="229" t="n">
        <v>0</v>
      </c>
      <c r="BO39" s="229" t="n">
        <v>0</v>
      </c>
      <c r="BP39" s="229" t="n">
        <v>0</v>
      </c>
      <c r="BQ39" s="229" t="n">
        <v>0</v>
      </c>
      <c r="BR39" s="229" t="n">
        <v>0</v>
      </c>
      <c r="BS39" s="229" t="n">
        <v>0</v>
      </c>
      <c r="BT39" s="229" t="n">
        <v>0</v>
      </c>
      <c r="BU39" s="229" t="n">
        <v>0</v>
      </c>
      <c r="BV39" s="229" t="n">
        <v>0</v>
      </c>
      <c r="BW39" s="229" t="n">
        <v>0</v>
      </c>
      <c r="BX39" s="229" t="n">
        <v>0</v>
      </c>
      <c r="BY39" s="229" t="n">
        <v>0</v>
      </c>
      <c r="BZ39" s="229" t="n">
        <v>0</v>
      </c>
      <c r="CA39" s="229" t="n">
        <v>0</v>
      </c>
      <c r="CB39" s="229" t="n">
        <v>0</v>
      </c>
      <c r="CC39" s="229" t="n">
        <v>0</v>
      </c>
      <c r="CD39" s="229" t="n">
        <v>0</v>
      </c>
      <c r="CE39" s="229" t="n">
        <v>0</v>
      </c>
      <c r="CF39" s="229" t="n">
        <v>0</v>
      </c>
      <c r="CG39" s="229" t="n">
        <v>0</v>
      </c>
      <c r="CH39" s="229" t="n">
        <v>0</v>
      </c>
    </row>
    <row r="40" customFormat="false" ht="15" hidden="false" customHeight="true" outlineLevel="0" collapsed="false">
      <c r="A40" s="233" t="s">
        <v>758</v>
      </c>
      <c r="B40" s="3"/>
      <c r="C40" s="234" t="n">
        <f aca="false">Model!E291</f>
        <v>-0</v>
      </c>
      <c r="D40" s="234" t="n">
        <f aca="false">Model!F291</f>
        <v>-0</v>
      </c>
      <c r="E40" s="234" t="n">
        <f aca="false">Model!G291</f>
        <v>-0</v>
      </c>
      <c r="F40" s="234" t="n">
        <f aca="false">Model!H291</f>
        <v>-0</v>
      </c>
      <c r="G40" s="234" t="n">
        <f aca="false">Model!I291</f>
        <v>-0</v>
      </c>
      <c r="H40" s="234" t="n">
        <f aca="false">Model!J291</f>
        <v>-0</v>
      </c>
      <c r="I40" s="234" t="n">
        <f aca="false">Model!K291</f>
        <v>-0</v>
      </c>
      <c r="J40" s="234" t="n">
        <f aca="false">Model!L291</f>
        <v>-0</v>
      </c>
      <c r="K40" s="234" t="n">
        <f aca="false">Model!M291</f>
        <v>-0</v>
      </c>
      <c r="L40" s="234" t="n">
        <f aca="false">Model!N291</f>
        <v>-0</v>
      </c>
      <c r="M40" s="234" t="n">
        <f aca="false">Model!O291</f>
        <v>-0</v>
      </c>
      <c r="N40" s="234" t="n">
        <f aca="false">Model!P291</f>
        <v>-0</v>
      </c>
      <c r="O40" s="234" t="n">
        <f aca="false">Model!Q291</f>
        <v>-0</v>
      </c>
      <c r="P40" s="234" t="n">
        <f aca="false">Model!R291</f>
        <v>-0</v>
      </c>
      <c r="Q40" s="234" t="n">
        <f aca="false">Model!S291</f>
        <v>-0</v>
      </c>
      <c r="R40" s="234" t="n">
        <f aca="false">Model!T291</f>
        <v>-0</v>
      </c>
      <c r="S40" s="234" t="n">
        <f aca="false">Model!U291</f>
        <v>-0</v>
      </c>
      <c r="T40" s="234" t="n">
        <f aca="false">Model!V291</f>
        <v>-0</v>
      </c>
      <c r="U40" s="234" t="n">
        <f aca="false">Model!W291</f>
        <v>-0</v>
      </c>
      <c r="V40" s="234" t="n">
        <f aca="false">Model!X291</f>
        <v>-0</v>
      </c>
      <c r="W40" s="234" t="n">
        <f aca="false">Model!Y291</f>
        <v>-0</v>
      </c>
      <c r="X40" s="234" t="n">
        <f aca="false">Model!Z291</f>
        <v>-0</v>
      </c>
      <c r="Y40" s="234" t="n">
        <f aca="false">Model!AA291</f>
        <v>-0</v>
      </c>
      <c r="Z40" s="234" t="n">
        <f aca="false">Model!AB291</f>
        <v>-0</v>
      </c>
      <c r="AA40" s="234" t="n">
        <f aca="false">Model!AC291</f>
        <v>-0</v>
      </c>
      <c r="AB40" s="234" t="n">
        <f aca="false">Model!AD291</f>
        <v>-0</v>
      </c>
      <c r="AC40" s="234" t="n">
        <f aca="false">Model!AE291</f>
        <v>-0</v>
      </c>
      <c r="AD40" s="234" t="n">
        <f aca="false">Model!AF291</f>
        <v>-0</v>
      </c>
      <c r="AE40" s="234" t="n">
        <f aca="false">Model!AG291</f>
        <v>-0</v>
      </c>
      <c r="AF40" s="234" t="n">
        <f aca="false">Model!AH291</f>
        <v>-0</v>
      </c>
      <c r="AG40" s="234" t="n">
        <f aca="false">Model!AI291</f>
        <v>-0</v>
      </c>
      <c r="AH40" s="234" t="n">
        <f aca="false">Model!AJ291</f>
        <v>-0</v>
      </c>
      <c r="AI40" s="234" t="n">
        <f aca="false">Model!AK291</f>
        <v>-0</v>
      </c>
      <c r="AJ40" s="234" t="n">
        <f aca="false">Model!AL291</f>
        <v>-0</v>
      </c>
      <c r="AK40" s="234" t="n">
        <f aca="false">Model!AM291</f>
        <v>-0</v>
      </c>
      <c r="AL40" s="234" t="n">
        <f aca="false">Model!AN291</f>
        <v>-0</v>
      </c>
      <c r="AM40" s="234" t="n">
        <f aca="false">Model!AO291</f>
        <v>-0</v>
      </c>
      <c r="AN40" s="234" t="n">
        <f aca="false">Model!AP291</f>
        <v>-0</v>
      </c>
      <c r="AO40" s="234" t="n">
        <f aca="false">Model!AQ291</f>
        <v>-0</v>
      </c>
      <c r="AP40" s="234" t="n">
        <f aca="false">Model!AR291</f>
        <v>-0</v>
      </c>
      <c r="AQ40" s="234" t="n">
        <f aca="false">Model!AS291</f>
        <v>-0</v>
      </c>
      <c r="AR40" s="234" t="n">
        <f aca="false">Model!AT291</f>
        <v>-0</v>
      </c>
      <c r="AS40" s="234" t="n">
        <f aca="false">Model!AU291</f>
        <v>-0</v>
      </c>
      <c r="AT40" s="234" t="n">
        <f aca="false">Model!AV291</f>
        <v>-0</v>
      </c>
      <c r="AU40" s="234" t="n">
        <f aca="false">Model!AW291</f>
        <v>-0</v>
      </c>
      <c r="AV40" s="234" t="n">
        <f aca="false">Model!AX291</f>
        <v>-0</v>
      </c>
      <c r="AW40" s="234" t="n">
        <f aca="false">Model!AY291</f>
        <v>-0</v>
      </c>
      <c r="AX40" s="234" t="n">
        <f aca="false">Model!AZ291</f>
        <v>-0</v>
      </c>
      <c r="AY40" s="234" t="n">
        <f aca="false">Model!BA291</f>
        <v>-0</v>
      </c>
      <c r="AZ40" s="234" t="n">
        <f aca="false">Model!BB291</f>
        <v>-0</v>
      </c>
      <c r="BA40" s="234" t="n">
        <f aca="false">Model!BC291</f>
        <v>-0</v>
      </c>
      <c r="BB40" s="234" t="n">
        <f aca="false">Model!BD291</f>
        <v>-0</v>
      </c>
      <c r="BC40" s="234" t="n">
        <f aca="false">Model!BE291</f>
        <v>-0</v>
      </c>
      <c r="BD40" s="234" t="n">
        <f aca="false">Model!BF291</f>
        <v>-0</v>
      </c>
      <c r="BE40" s="234" t="n">
        <f aca="false">Model!BG291</f>
        <v>-0</v>
      </c>
      <c r="BF40" s="234" t="n">
        <f aca="false">Model!BH291</f>
        <v>-0</v>
      </c>
      <c r="BG40" s="234" t="n">
        <f aca="false">Model!BI291</f>
        <v>-0</v>
      </c>
      <c r="BH40" s="234" t="n">
        <f aca="false">Model!BJ291</f>
        <v>-0</v>
      </c>
      <c r="BI40" s="234" t="n">
        <f aca="false">Model!BK291</f>
        <v>-0</v>
      </c>
      <c r="BJ40" s="234" t="n">
        <f aca="false">Model!BL291</f>
        <v>-0</v>
      </c>
      <c r="BK40" s="234" t="n">
        <f aca="false">Model!BM291</f>
        <v>-0</v>
      </c>
      <c r="BL40" s="234" t="n">
        <f aca="false">Model!BN291</f>
        <v>-0</v>
      </c>
      <c r="BM40" s="234" t="n">
        <f aca="false">Model!BO291</f>
        <v>-0</v>
      </c>
      <c r="BN40" s="234" t="n">
        <f aca="false">Model!BP291</f>
        <v>-0</v>
      </c>
      <c r="BO40" s="234" t="n">
        <f aca="false">Model!BQ291</f>
        <v>-0</v>
      </c>
      <c r="BP40" s="234" t="n">
        <f aca="false">Model!BR291</f>
        <v>-0</v>
      </c>
      <c r="BQ40" s="234" t="n">
        <f aca="false">Model!BS291</f>
        <v>-0</v>
      </c>
      <c r="BR40" s="234" t="n">
        <f aca="false">Model!BT291</f>
        <v>-0</v>
      </c>
      <c r="BS40" s="234" t="n">
        <f aca="false">Model!BU291</f>
        <v>-0</v>
      </c>
      <c r="BT40" s="234" t="n">
        <f aca="false">Model!BV291</f>
        <v>-0</v>
      </c>
      <c r="BU40" s="234" t="n">
        <f aca="false">Model!BW291</f>
        <v>-0</v>
      </c>
      <c r="BV40" s="234" t="n">
        <f aca="false">Model!BX291</f>
        <v>-0</v>
      </c>
      <c r="BW40" s="234" t="n">
        <f aca="false">Model!BY291</f>
        <v>-0</v>
      </c>
      <c r="BX40" s="234" t="n">
        <f aca="false">Model!BZ291</f>
        <v>-0</v>
      </c>
      <c r="BY40" s="234" t="n">
        <f aca="false">Model!CA291</f>
        <v>-0</v>
      </c>
      <c r="BZ40" s="234" t="n">
        <f aca="false">Model!CB291</f>
        <v>-0</v>
      </c>
      <c r="CA40" s="234" t="n">
        <f aca="false">Model!CC291</f>
        <v>-0</v>
      </c>
      <c r="CB40" s="234" t="n">
        <f aca="false">Model!CD291</f>
        <v>-0</v>
      </c>
      <c r="CC40" s="234" t="n">
        <f aca="false">Model!CE291</f>
        <v>-0</v>
      </c>
      <c r="CD40" s="234" t="n">
        <f aca="false">Model!CF291</f>
        <v>-0</v>
      </c>
      <c r="CE40" s="234" t="n">
        <f aca="false">Model!CG291</f>
        <v>-0</v>
      </c>
      <c r="CF40" s="234" t="n">
        <f aca="false">Model!CH291</f>
        <v>-0</v>
      </c>
      <c r="CG40" s="234" t="n">
        <f aca="false">Model!CI291</f>
        <v>-0</v>
      </c>
      <c r="CH40" s="234" t="n">
        <f aca="false">Model!CJ291</f>
        <v>-0</v>
      </c>
    </row>
    <row r="41" customFormat="false" ht="15" hidden="false" customHeight="true" outlineLevel="0" collapsed="false">
      <c r="A41" s="230" t="s">
        <v>756</v>
      </c>
      <c r="B41" s="230"/>
      <c r="C41" s="231" t="n">
        <f aca="false">C39+C40</f>
        <v>0</v>
      </c>
      <c r="D41" s="231" t="n">
        <f aca="false">D39+D40</f>
        <v>0</v>
      </c>
      <c r="E41" s="231" t="n">
        <f aca="false">E39+E40</f>
        <v>0</v>
      </c>
      <c r="F41" s="231" t="n">
        <f aca="false">F39+F40</f>
        <v>0</v>
      </c>
      <c r="G41" s="231" t="n">
        <f aca="false">G39+G40</f>
        <v>0</v>
      </c>
      <c r="H41" s="231" t="n">
        <f aca="false">H39+H40</f>
        <v>0</v>
      </c>
      <c r="I41" s="231" t="n">
        <f aca="false">I39+I40</f>
        <v>0</v>
      </c>
      <c r="J41" s="231" t="n">
        <f aca="false">J39+J40</f>
        <v>0</v>
      </c>
      <c r="K41" s="231" t="n">
        <f aca="false">K39+K40</f>
        <v>0</v>
      </c>
      <c r="L41" s="231" t="n">
        <f aca="false">L39+L40</f>
        <v>0</v>
      </c>
      <c r="M41" s="231" t="n">
        <f aca="false">M39+M40</f>
        <v>0</v>
      </c>
      <c r="N41" s="231" t="n">
        <f aca="false">N39+N40</f>
        <v>0</v>
      </c>
      <c r="O41" s="231" t="n">
        <f aca="false">O39+O40</f>
        <v>0</v>
      </c>
      <c r="P41" s="231" t="n">
        <f aca="false">P39+P40</f>
        <v>0</v>
      </c>
      <c r="Q41" s="231" t="n">
        <f aca="false">Q39+Q40</f>
        <v>0</v>
      </c>
      <c r="R41" s="231" t="n">
        <f aca="false">R39+R40</f>
        <v>0</v>
      </c>
      <c r="S41" s="231" t="n">
        <f aca="false">S39+S40</f>
        <v>0</v>
      </c>
      <c r="T41" s="231" t="n">
        <f aca="false">T39+T40</f>
        <v>0</v>
      </c>
      <c r="U41" s="231" t="n">
        <f aca="false">U39+U40</f>
        <v>0</v>
      </c>
      <c r="V41" s="231" t="n">
        <f aca="false">V39+V40</f>
        <v>0</v>
      </c>
      <c r="W41" s="231" t="n">
        <f aca="false">W39+W40</f>
        <v>0</v>
      </c>
      <c r="X41" s="231" t="n">
        <f aca="false">X39+X40</f>
        <v>0</v>
      </c>
      <c r="Y41" s="231" t="n">
        <f aca="false">Y39+Y40</f>
        <v>0</v>
      </c>
      <c r="Z41" s="231" t="n">
        <f aca="false">Z39+Z40</f>
        <v>0</v>
      </c>
      <c r="AA41" s="231" t="n">
        <f aca="false">AA39+AA40</f>
        <v>0</v>
      </c>
      <c r="AB41" s="231" t="n">
        <f aca="false">AB39+AB40</f>
        <v>0</v>
      </c>
      <c r="AC41" s="231" t="n">
        <f aca="false">AC39+AC40</f>
        <v>0</v>
      </c>
      <c r="AD41" s="231" t="n">
        <f aca="false">AD39+AD40</f>
        <v>0</v>
      </c>
      <c r="AE41" s="231" t="n">
        <f aca="false">AE39+AE40</f>
        <v>0</v>
      </c>
      <c r="AF41" s="231" t="n">
        <f aca="false">AF39+AF40</f>
        <v>0</v>
      </c>
      <c r="AG41" s="231" t="n">
        <f aca="false">AG39+AG40</f>
        <v>0</v>
      </c>
      <c r="AH41" s="231" t="n">
        <f aca="false">AH39+AH40</f>
        <v>0</v>
      </c>
      <c r="AI41" s="231" t="n">
        <f aca="false">AI39+AI40</f>
        <v>0</v>
      </c>
      <c r="AJ41" s="231" t="n">
        <f aca="false">AJ39+AJ40</f>
        <v>0</v>
      </c>
      <c r="AK41" s="231" t="n">
        <f aca="false">AK39+AK40</f>
        <v>0</v>
      </c>
      <c r="AL41" s="231" t="n">
        <f aca="false">AL39+AL40</f>
        <v>0</v>
      </c>
      <c r="AM41" s="231" t="n">
        <f aca="false">AM39+AM40</f>
        <v>0</v>
      </c>
      <c r="AN41" s="231" t="n">
        <f aca="false">AN39+AN40</f>
        <v>0</v>
      </c>
      <c r="AO41" s="231" t="n">
        <f aca="false">AO39+AO40</f>
        <v>0</v>
      </c>
      <c r="AP41" s="231" t="n">
        <f aca="false">AP39+AP40</f>
        <v>0</v>
      </c>
      <c r="AQ41" s="231" t="n">
        <f aca="false">AQ39+AQ40</f>
        <v>0</v>
      </c>
      <c r="AR41" s="231" t="n">
        <f aca="false">AR39+AR40</f>
        <v>0</v>
      </c>
      <c r="AS41" s="231" t="n">
        <f aca="false">AS39+AS40</f>
        <v>0</v>
      </c>
      <c r="AT41" s="231" t="n">
        <f aca="false">AT39+AT40</f>
        <v>0</v>
      </c>
      <c r="AU41" s="231" t="n">
        <f aca="false">AU39+AU40</f>
        <v>0</v>
      </c>
      <c r="AV41" s="231" t="n">
        <f aca="false">AV39+AV40</f>
        <v>0</v>
      </c>
      <c r="AW41" s="231" t="n">
        <f aca="false">AW39+AW40</f>
        <v>0</v>
      </c>
      <c r="AX41" s="231" t="n">
        <f aca="false">AX39+AX40</f>
        <v>0</v>
      </c>
      <c r="AY41" s="231" t="n">
        <f aca="false">AY39+AY40</f>
        <v>0</v>
      </c>
      <c r="AZ41" s="231" t="n">
        <f aca="false">AZ39+AZ40</f>
        <v>0</v>
      </c>
      <c r="BA41" s="231" t="n">
        <f aca="false">BA39+BA40</f>
        <v>0</v>
      </c>
      <c r="BB41" s="231" t="n">
        <f aca="false">BB39+BB40</f>
        <v>0</v>
      </c>
      <c r="BC41" s="231" t="n">
        <f aca="false">BC39+BC40</f>
        <v>0</v>
      </c>
      <c r="BD41" s="231" t="n">
        <f aca="false">BD39+BD40</f>
        <v>0</v>
      </c>
      <c r="BE41" s="231" t="n">
        <f aca="false">BE39+BE40</f>
        <v>0</v>
      </c>
      <c r="BF41" s="231" t="n">
        <f aca="false">BF39+BF40</f>
        <v>0</v>
      </c>
      <c r="BG41" s="231" t="n">
        <f aca="false">BG39+BG40</f>
        <v>0</v>
      </c>
      <c r="BH41" s="231" t="n">
        <f aca="false">BH39+BH40</f>
        <v>0</v>
      </c>
      <c r="BI41" s="231" t="n">
        <f aca="false">BI39+BI40</f>
        <v>0</v>
      </c>
      <c r="BJ41" s="231" t="n">
        <f aca="false">BJ39+BJ40</f>
        <v>0</v>
      </c>
      <c r="BK41" s="231" t="n">
        <f aca="false">BK39+BK40</f>
        <v>0</v>
      </c>
      <c r="BL41" s="231" t="n">
        <f aca="false">BL39+BL40</f>
        <v>0</v>
      </c>
      <c r="BM41" s="231" t="n">
        <f aca="false">BM39+BM40</f>
        <v>0</v>
      </c>
      <c r="BN41" s="231" t="n">
        <f aca="false">BN39+BN40</f>
        <v>0</v>
      </c>
      <c r="BO41" s="231" t="n">
        <f aca="false">BO39+BO40</f>
        <v>0</v>
      </c>
      <c r="BP41" s="231" t="n">
        <f aca="false">BP39+BP40</f>
        <v>0</v>
      </c>
      <c r="BQ41" s="231" t="n">
        <f aca="false">BQ39+BQ40</f>
        <v>0</v>
      </c>
      <c r="BR41" s="231" t="n">
        <f aca="false">BR39+BR40</f>
        <v>0</v>
      </c>
      <c r="BS41" s="231" t="n">
        <f aca="false">BS39+BS40</f>
        <v>0</v>
      </c>
      <c r="BT41" s="231" t="n">
        <f aca="false">BT39+BT40</f>
        <v>0</v>
      </c>
      <c r="BU41" s="231" t="n">
        <f aca="false">BU39+BU40</f>
        <v>0</v>
      </c>
      <c r="BV41" s="231" t="n">
        <f aca="false">BV39+BV40</f>
        <v>0</v>
      </c>
      <c r="BW41" s="231" t="n">
        <f aca="false">BW39+BW40</f>
        <v>0</v>
      </c>
      <c r="BX41" s="231" t="n">
        <f aca="false">BX39+BX40</f>
        <v>0</v>
      </c>
      <c r="BY41" s="231" t="n">
        <f aca="false">BY39+BY40</f>
        <v>0</v>
      </c>
      <c r="BZ41" s="231" t="n">
        <f aca="false">BZ39+BZ40</f>
        <v>0</v>
      </c>
      <c r="CA41" s="231" t="n">
        <f aca="false">CA39+CA40</f>
        <v>0</v>
      </c>
      <c r="CB41" s="231" t="n">
        <f aca="false">CB39+CB40</f>
        <v>0</v>
      </c>
      <c r="CC41" s="231" t="n">
        <f aca="false">CC39+CC40</f>
        <v>0</v>
      </c>
      <c r="CD41" s="231" t="n">
        <f aca="false">CD39+CD40</f>
        <v>0</v>
      </c>
      <c r="CE41" s="231" t="n">
        <f aca="false">CE39+CE40</f>
        <v>0</v>
      </c>
      <c r="CF41" s="231" t="n">
        <f aca="false">CF39+CF40</f>
        <v>0</v>
      </c>
      <c r="CG41" s="231" t="n">
        <f aca="false">CG39+CG40</f>
        <v>0</v>
      </c>
      <c r="CH41" s="231" t="n">
        <f aca="false">CH39+CH40</f>
        <v>0</v>
      </c>
    </row>
    <row r="42" customFormat="false" ht="15" hidden="false" customHeight="true" outlineLevel="0" collapsed="false">
      <c r="A42" s="2" t="s">
        <v>757</v>
      </c>
      <c r="B42" s="3"/>
      <c r="C42" s="232" t="n">
        <f aca="false">C41</f>
        <v>0</v>
      </c>
      <c r="D42" s="232" t="n">
        <f aca="false">C42+D41</f>
        <v>0</v>
      </c>
      <c r="E42" s="232" t="n">
        <f aca="false">D42+E41</f>
        <v>0</v>
      </c>
      <c r="F42" s="232" t="n">
        <f aca="false">E42+F41</f>
        <v>0</v>
      </c>
      <c r="G42" s="232" t="n">
        <f aca="false">F42+G41</f>
        <v>0</v>
      </c>
      <c r="H42" s="232" t="n">
        <f aca="false">G42+H41</f>
        <v>0</v>
      </c>
      <c r="I42" s="232" t="n">
        <f aca="false">H42+I41</f>
        <v>0</v>
      </c>
      <c r="J42" s="232" t="n">
        <f aca="false">I42+J41</f>
        <v>0</v>
      </c>
      <c r="K42" s="232" t="n">
        <f aca="false">J42+K41</f>
        <v>0</v>
      </c>
      <c r="L42" s="232" t="n">
        <f aca="false">K42+L41</f>
        <v>0</v>
      </c>
      <c r="M42" s="232" t="n">
        <f aca="false">L42+M41</f>
        <v>0</v>
      </c>
      <c r="N42" s="232" t="n">
        <f aca="false">M42+N41</f>
        <v>0</v>
      </c>
      <c r="O42" s="232" t="n">
        <f aca="false">N42+O41</f>
        <v>0</v>
      </c>
      <c r="P42" s="232" t="n">
        <f aca="false">O42+P41</f>
        <v>0</v>
      </c>
      <c r="Q42" s="232" t="n">
        <f aca="false">P42+Q41</f>
        <v>0</v>
      </c>
      <c r="R42" s="232" t="n">
        <f aca="false">Q42+R41</f>
        <v>0</v>
      </c>
      <c r="S42" s="232" t="n">
        <f aca="false">R42+S41</f>
        <v>0</v>
      </c>
      <c r="T42" s="232" t="n">
        <f aca="false">S42+T41</f>
        <v>0</v>
      </c>
      <c r="U42" s="232" t="n">
        <f aca="false">T42+U41</f>
        <v>0</v>
      </c>
      <c r="V42" s="232" t="n">
        <f aca="false">U42+V41</f>
        <v>0</v>
      </c>
      <c r="W42" s="232" t="n">
        <f aca="false">V42+W41</f>
        <v>0</v>
      </c>
      <c r="X42" s="232" t="n">
        <f aca="false">W42+X41</f>
        <v>0</v>
      </c>
      <c r="Y42" s="232" t="n">
        <f aca="false">X42+Y41</f>
        <v>0</v>
      </c>
      <c r="Z42" s="232" t="n">
        <f aca="false">Y42+Z41</f>
        <v>0</v>
      </c>
      <c r="AA42" s="232" t="n">
        <f aca="false">Z42+AA41</f>
        <v>0</v>
      </c>
      <c r="AB42" s="232" t="n">
        <f aca="false">AA42+AB41</f>
        <v>0</v>
      </c>
      <c r="AC42" s="232" t="n">
        <f aca="false">AB42+AC41</f>
        <v>0</v>
      </c>
      <c r="AD42" s="232" t="n">
        <f aca="false">AC42+AD41</f>
        <v>0</v>
      </c>
      <c r="AE42" s="232" t="n">
        <f aca="false">AD42+AE41</f>
        <v>0</v>
      </c>
      <c r="AF42" s="232" t="n">
        <f aca="false">AE42+AF41</f>
        <v>0</v>
      </c>
      <c r="AG42" s="232" t="n">
        <f aca="false">AF42+AG41</f>
        <v>0</v>
      </c>
      <c r="AH42" s="232" t="n">
        <f aca="false">AG42+AH41</f>
        <v>0</v>
      </c>
      <c r="AI42" s="232" t="n">
        <f aca="false">AH42+AI41</f>
        <v>0</v>
      </c>
      <c r="AJ42" s="232" t="n">
        <f aca="false">AI42+AJ41</f>
        <v>0</v>
      </c>
      <c r="AK42" s="232" t="n">
        <f aca="false">AJ42+AK41</f>
        <v>0</v>
      </c>
      <c r="AL42" s="232" t="n">
        <f aca="false">AK42+AL41</f>
        <v>0</v>
      </c>
      <c r="AM42" s="232" t="n">
        <f aca="false">AL42+AM41</f>
        <v>0</v>
      </c>
      <c r="AN42" s="232" t="n">
        <f aca="false">AM42+AN41</f>
        <v>0</v>
      </c>
      <c r="AO42" s="232" t="n">
        <f aca="false">AN42+AO41</f>
        <v>0</v>
      </c>
      <c r="AP42" s="232" t="n">
        <f aca="false">AO42+AP41</f>
        <v>0</v>
      </c>
      <c r="AQ42" s="232" t="n">
        <f aca="false">AP42+AQ41</f>
        <v>0</v>
      </c>
      <c r="AR42" s="232" t="n">
        <f aca="false">AQ42+AR41</f>
        <v>0</v>
      </c>
      <c r="AS42" s="232" t="n">
        <f aca="false">AR42+AS41</f>
        <v>0</v>
      </c>
      <c r="AT42" s="232" t="n">
        <f aca="false">AS42+AT41</f>
        <v>0</v>
      </c>
      <c r="AU42" s="232" t="n">
        <f aca="false">AT42+AU41</f>
        <v>0</v>
      </c>
      <c r="AV42" s="232" t="n">
        <f aca="false">AU42+AV41</f>
        <v>0</v>
      </c>
      <c r="AW42" s="232" t="n">
        <f aca="false">AV42+AW41</f>
        <v>0</v>
      </c>
      <c r="AX42" s="232" t="n">
        <f aca="false">AW42+AX41</f>
        <v>0</v>
      </c>
      <c r="AY42" s="232" t="n">
        <f aca="false">AX42+AY41</f>
        <v>0</v>
      </c>
      <c r="AZ42" s="232" t="n">
        <f aca="false">AY42+AZ41</f>
        <v>0</v>
      </c>
      <c r="BA42" s="232" t="n">
        <f aca="false">AZ42+BA41</f>
        <v>0</v>
      </c>
      <c r="BB42" s="232" t="n">
        <f aca="false">BA42+BB41</f>
        <v>0</v>
      </c>
      <c r="BC42" s="232" t="n">
        <f aca="false">BB42+BC41</f>
        <v>0</v>
      </c>
      <c r="BD42" s="232" t="n">
        <f aca="false">BC42+BD41</f>
        <v>0</v>
      </c>
      <c r="BE42" s="232" t="n">
        <f aca="false">BD42+BE41</f>
        <v>0</v>
      </c>
      <c r="BF42" s="232" t="n">
        <f aca="false">BE42+BF41</f>
        <v>0</v>
      </c>
      <c r="BG42" s="232" t="n">
        <f aca="false">BF42+BG41</f>
        <v>0</v>
      </c>
      <c r="BH42" s="232" t="n">
        <f aca="false">BG42+BH41</f>
        <v>0</v>
      </c>
      <c r="BI42" s="232" t="n">
        <f aca="false">BH42+BI41</f>
        <v>0</v>
      </c>
      <c r="BJ42" s="232" t="n">
        <f aca="false">BI42+BJ41</f>
        <v>0</v>
      </c>
      <c r="BK42" s="232" t="n">
        <f aca="false">BJ42+BK41</f>
        <v>0</v>
      </c>
      <c r="BL42" s="232" t="n">
        <f aca="false">BK42+BL41</f>
        <v>0</v>
      </c>
      <c r="BM42" s="232" t="n">
        <f aca="false">BL42+BM41</f>
        <v>0</v>
      </c>
      <c r="BN42" s="232" t="n">
        <f aca="false">BM42+BN41</f>
        <v>0</v>
      </c>
      <c r="BO42" s="232" t="n">
        <f aca="false">BN42+BO41</f>
        <v>0</v>
      </c>
      <c r="BP42" s="232" t="n">
        <f aca="false">BO42+BP41</f>
        <v>0</v>
      </c>
      <c r="BQ42" s="232" t="n">
        <f aca="false">BP42+BQ41</f>
        <v>0</v>
      </c>
      <c r="BR42" s="232" t="n">
        <f aca="false">BQ42+BR41</f>
        <v>0</v>
      </c>
      <c r="BS42" s="232" t="n">
        <f aca="false">BR42+BS41</f>
        <v>0</v>
      </c>
      <c r="BT42" s="232" t="n">
        <f aca="false">BS42+BT41</f>
        <v>0</v>
      </c>
      <c r="BU42" s="232" t="n">
        <f aca="false">BT42+BU41</f>
        <v>0</v>
      </c>
      <c r="BV42" s="232" t="n">
        <f aca="false">BU42+BV41</f>
        <v>0</v>
      </c>
      <c r="BW42" s="232" t="n">
        <f aca="false">BV42+BW41</f>
        <v>0</v>
      </c>
      <c r="BX42" s="232" t="n">
        <f aca="false">BW42+BX41</f>
        <v>0</v>
      </c>
      <c r="BY42" s="232" t="n">
        <f aca="false">BX42+BY41</f>
        <v>0</v>
      </c>
      <c r="BZ42" s="232" t="n">
        <f aca="false">BY42+BZ41</f>
        <v>0</v>
      </c>
      <c r="CA42" s="232" t="n">
        <f aca="false">BZ42+CA41</f>
        <v>0</v>
      </c>
      <c r="CB42" s="232" t="n">
        <f aca="false">CA42+CB41</f>
        <v>0</v>
      </c>
      <c r="CC42" s="232" t="n">
        <f aca="false">CB42+CC41</f>
        <v>0</v>
      </c>
      <c r="CD42" s="232" t="n">
        <f aca="false">CC42+CD41</f>
        <v>0</v>
      </c>
      <c r="CE42" s="232" t="n">
        <f aca="false">CD42+CE41</f>
        <v>0</v>
      </c>
      <c r="CF42" s="232" t="n">
        <f aca="false">CE42+CF41</f>
        <v>0</v>
      </c>
      <c r="CG42" s="232" t="n">
        <f aca="false">CF42+CG41</f>
        <v>0</v>
      </c>
      <c r="CH42" s="232"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759</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30" t="s">
        <v>760</v>
      </c>
      <c r="B45" s="230"/>
      <c r="C45" s="231" t="n">
        <f aca="false">C5+C10+C16+C22+C28+C35+C41</f>
        <v>33281.25</v>
      </c>
      <c r="D45" s="231" t="n">
        <f aca="false">D5+D10+D16+D22+D28+D35+D41</f>
        <v>33281.25</v>
      </c>
      <c r="E45" s="231" t="n">
        <f aca="false">E5+E10+E16+E22+E28+E35+E41</f>
        <v>33281.25</v>
      </c>
      <c r="F45" s="231" t="n">
        <f aca="false">F5+F10+F16+F22+F28+F35+F41</f>
        <v>33281.25</v>
      </c>
      <c r="G45" s="231" t="n">
        <f aca="false">G5+G10+G16+G22+G28+G35+G41</f>
        <v>160795.25</v>
      </c>
      <c r="H45" s="231" t="n">
        <f aca="false">H5+H10+H16+H22+H28+H35+H41</f>
        <v>33281.25</v>
      </c>
      <c r="I45" s="231" t="n">
        <f aca="false">I5+I10+I16+I22+I28+I35+I41</f>
        <v>33281.25</v>
      </c>
      <c r="J45" s="231" t="n">
        <f aca="false">J5+J10+J16+J22+J28+J35+J41</f>
        <v>23906.25</v>
      </c>
      <c r="K45" s="231" t="n">
        <f aca="false">K5+K10+K16+K22+K28+K35+K41</f>
        <v>23906.25</v>
      </c>
      <c r="L45" s="231" t="n">
        <f aca="false">L5+L10+L16+L22+L28+L35+L41</f>
        <v>-108387.855263158</v>
      </c>
      <c r="M45" s="231" t="n">
        <f aca="false">M5+M10+M16+M22+M28+M35+M41</f>
        <v>-125548.960526316</v>
      </c>
      <c r="N45" s="231" t="n">
        <f aca="false">N5+N10+N16+N22+N28+N35+N41</f>
        <v>30222.0394736842</v>
      </c>
      <c r="O45" s="231" t="n">
        <f aca="false">O5+O10+O16+O22+O28+O35+O41</f>
        <v>30222.0394736842</v>
      </c>
      <c r="P45" s="231" t="n">
        <f aca="false">P5+P10+P16+P22+P28+P35+P41</f>
        <v>30222.0394736842</v>
      </c>
      <c r="Q45" s="231" t="n">
        <f aca="false">Q5+Q10+Q16+Q22+Q28+Q35+Q41</f>
        <v>30222.0394736842</v>
      </c>
      <c r="R45" s="231" t="n">
        <f aca="false">R5+R10+R16+R22+R28+R35+R41</f>
        <v>6315.78947368421</v>
      </c>
      <c r="S45" s="231" t="n">
        <f aca="false">S5+S10+S16+S22+S28+S35+S41</f>
        <v>6315.78947368421</v>
      </c>
      <c r="T45" s="231" t="n">
        <f aca="false">T5+T10+T16+T22+T28+T35+T41</f>
        <v>6315.78947368421</v>
      </c>
      <c r="U45" s="231" t="n">
        <f aca="false">U5+U10+U16+U22+U28+U35+U41</f>
        <v>6315.78947368421</v>
      </c>
      <c r="V45" s="231" t="n">
        <f aca="false">V5+V10+V16+V22+V28+V35+V41</f>
        <v>6315.78947368421</v>
      </c>
      <c r="W45" s="231" t="n">
        <f aca="false">W5+W10+W16+W22+W28+W35+W41</f>
        <v>63690.7894736842</v>
      </c>
      <c r="X45" s="231" t="n">
        <f aca="false">X5+X10+X16+X22+X28+X35+X41</f>
        <v>6315.78947368421</v>
      </c>
      <c r="Y45" s="231" t="n">
        <f aca="false">Y5+Y10+Y16+Y22+Y28+Y35+Y41</f>
        <v>6315.78947368421</v>
      </c>
      <c r="Z45" s="231" t="n">
        <f aca="false">Z5+Z10+Z16+Z22+Z28+Z35+Z41</f>
        <v>63690.7894736842</v>
      </c>
      <c r="AA45" s="231" t="n">
        <f aca="false">AA5+AA10+AA16+AA22+AA28+AA35+AA41</f>
        <v>6315.78947368421</v>
      </c>
      <c r="AB45" s="231" t="n">
        <f aca="false">AB5+AB10+AB16+AB22+AB28+AB35+AB41</f>
        <v>6315.78947368421</v>
      </c>
      <c r="AC45" s="231" t="n">
        <f aca="false">AC5+AC10+AC16+AC22+AC28+AC35+AC41</f>
        <v>63690.7894736842</v>
      </c>
      <c r="AD45" s="231" t="n">
        <f aca="false">AD5+AD10+AD16+AD22+AD28+AD35+AD41</f>
        <v>6315.78947368421</v>
      </c>
      <c r="AE45" s="231" t="n">
        <f aca="false">AE5+AE10+AE16+AE22+AE28+AE35+AE41</f>
        <v>3157.89473684211</v>
      </c>
      <c r="AF45" s="231" t="n">
        <f aca="false">AF5+AF10+AF16+AF22+AF28+AF35+AF41</f>
        <v>0</v>
      </c>
      <c r="AG45" s="231" t="n">
        <f aca="false">AG5+AG10+AG16+AG22+AG28+AG35+AG41</f>
        <v>0</v>
      </c>
      <c r="AH45" s="231" t="n">
        <f aca="false">AH5+AH10+AH16+AH22+AH28+AH35+AH41</f>
        <v>0</v>
      </c>
      <c r="AI45" s="231" t="n">
        <f aca="false">AI5+AI10+AI16+AI22+AI28+AI35+AI41</f>
        <v>0</v>
      </c>
      <c r="AJ45" s="231" t="n">
        <f aca="false">AJ5+AJ10+AJ16+AJ22+AJ28+AJ35+AJ41</f>
        <v>0</v>
      </c>
      <c r="AK45" s="231" t="n">
        <f aca="false">AK5+AK10+AK16+AK22+AK28+AK35+AK41</f>
        <v>0</v>
      </c>
      <c r="AL45" s="231" t="n">
        <f aca="false">AL5+AL10+AL16+AL22+AL28+AL35+AL41</f>
        <v>0</v>
      </c>
      <c r="AM45" s="231" t="n">
        <f aca="false">AM5+AM10+AM16+AM22+AM28+AM35+AM41</f>
        <v>0</v>
      </c>
      <c r="AN45" s="231" t="n">
        <f aca="false">AN5+AN10+AN16+AN22+AN28+AN35+AN41</f>
        <v>0</v>
      </c>
      <c r="AO45" s="231" t="n">
        <f aca="false">AO5+AO10+AO16+AO22+AO28+AO35+AO41</f>
        <v>0</v>
      </c>
      <c r="AP45" s="231" t="n">
        <f aca="false">AP5+AP10+AP16+AP22+AP28+AP35+AP41</f>
        <v>0</v>
      </c>
      <c r="AQ45" s="231" t="n">
        <f aca="false">AQ5+AQ10+AQ16+AQ22+AQ28+AQ35+AQ41</f>
        <v>0</v>
      </c>
      <c r="AR45" s="231" t="n">
        <f aca="false">AR5+AR10+AR16+AR22+AR28+AR35+AR41</f>
        <v>0</v>
      </c>
      <c r="AS45" s="231" t="n">
        <f aca="false">AS5+AS10+AS16+AS22+AS28+AS35+AS41</f>
        <v>0</v>
      </c>
      <c r="AT45" s="231" t="n">
        <f aca="false">AT5+AT10+AT16+AT22+AT28+AT35+AT41</f>
        <v>0</v>
      </c>
      <c r="AU45" s="231" t="n">
        <f aca="false">AU5+AU10+AU16+AU22+AU28+AU35+AU41</f>
        <v>0</v>
      </c>
      <c r="AV45" s="231" t="n">
        <f aca="false">AV5+AV10+AV16+AV22+AV28+AV35+AV41</f>
        <v>0</v>
      </c>
      <c r="AW45" s="231" t="n">
        <f aca="false">AW5+AW10+AW16+AW22+AW28+AW35+AW41</f>
        <v>0</v>
      </c>
      <c r="AX45" s="231" t="n">
        <f aca="false">AX5+AX10+AX16+AX22+AX28+AX35+AX41</f>
        <v>0</v>
      </c>
      <c r="AY45" s="231" t="n">
        <f aca="false">AY5+AY10+AY16+AY22+AY28+AY35+AY41</f>
        <v>0</v>
      </c>
      <c r="AZ45" s="231" t="n">
        <f aca="false">AZ5+AZ10+AZ16+AZ22+AZ28+AZ35+AZ41</f>
        <v>0</v>
      </c>
      <c r="BA45" s="231" t="n">
        <f aca="false">BA5+BA10+BA16+BA22+BA28+BA35+BA41</f>
        <v>0</v>
      </c>
      <c r="BB45" s="231" t="n">
        <f aca="false">BB5+BB10+BB16+BB22+BB28+BB35+BB41</f>
        <v>0</v>
      </c>
      <c r="BC45" s="231" t="n">
        <f aca="false">BC5+BC10+BC16+BC22+BC28+BC35+BC41</f>
        <v>0</v>
      </c>
      <c r="BD45" s="231" t="n">
        <f aca="false">BD5+BD10+BD16+BD22+BD28+BD35+BD41</f>
        <v>0</v>
      </c>
      <c r="BE45" s="231" t="n">
        <f aca="false">BE5+BE10+BE16+BE22+BE28+BE35+BE41</f>
        <v>0</v>
      </c>
      <c r="BF45" s="231" t="n">
        <f aca="false">BF5+BF10+BF16+BF22+BF28+BF35+BF41</f>
        <v>0</v>
      </c>
      <c r="BG45" s="231" t="n">
        <f aca="false">BG5+BG10+BG16+BG22+BG28+BG35+BG41</f>
        <v>0</v>
      </c>
      <c r="BH45" s="231" t="n">
        <f aca="false">BH5+BH10+BH16+BH22+BH28+BH35+BH41</f>
        <v>0</v>
      </c>
      <c r="BI45" s="231" t="n">
        <f aca="false">BI5+BI10+BI16+BI22+BI28+BI35+BI41</f>
        <v>0</v>
      </c>
      <c r="BJ45" s="231" t="n">
        <f aca="false">BJ5+BJ10+BJ16+BJ22+BJ28+BJ35+BJ41</f>
        <v>0</v>
      </c>
      <c r="BK45" s="231" t="n">
        <f aca="false">BK5+BK10+BK16+BK22+BK28+BK35+BK41</f>
        <v>0</v>
      </c>
      <c r="BL45" s="231" t="n">
        <f aca="false">BL5+BL10+BL16+BL22+BL28+BL35+BL41</f>
        <v>0</v>
      </c>
      <c r="BM45" s="231" t="n">
        <f aca="false">BM5+BM10+BM16+BM22+BM28+BM35+BM41</f>
        <v>0</v>
      </c>
      <c r="BN45" s="231" t="n">
        <f aca="false">BN5+BN10+BN16+BN22+BN28+BN35+BN41</f>
        <v>0</v>
      </c>
      <c r="BO45" s="231" t="n">
        <f aca="false">BO5+BO10+BO16+BO22+BO28+BO35+BO41</f>
        <v>0</v>
      </c>
      <c r="BP45" s="231" t="n">
        <f aca="false">BP5+BP10+BP16+BP22+BP28+BP35+BP41</f>
        <v>53250.35</v>
      </c>
      <c r="BQ45" s="231" t="n">
        <f aca="false">BQ5+BQ10+BQ16+BQ22+BQ28+BQ35+BQ41</f>
        <v>0</v>
      </c>
      <c r="BR45" s="231" t="n">
        <f aca="false">BR5+BR10+BR16+BR22+BR28+BR35+BR41</f>
        <v>0</v>
      </c>
      <c r="BS45" s="231" t="n">
        <f aca="false">BS5+BS10+BS16+BS22+BS28+BS35+BS41</f>
        <v>67762</v>
      </c>
      <c r="BT45" s="231" t="n">
        <f aca="false">BT5+BT10+BT16+BT22+BT28+BT35+BT41</f>
        <v>0</v>
      </c>
      <c r="BU45" s="231" t="n">
        <f aca="false">BU5+BU10+BU16+BU22+BU28+BU35+BU41</f>
        <v>0</v>
      </c>
      <c r="BV45" s="231" t="n">
        <f aca="false">BV5+BV10+BV16+BV22+BV28+BV35+BV41</f>
        <v>67762</v>
      </c>
      <c r="BW45" s="231" t="n">
        <f aca="false">BW5+BW10+BW16+BW22+BW28+BW35+BW41</f>
        <v>0</v>
      </c>
      <c r="BX45" s="231" t="n">
        <f aca="false">BX5+BX10+BX16+BX22+BX28+BX35+BX41</f>
        <v>0</v>
      </c>
      <c r="BY45" s="231" t="n">
        <f aca="false">BY5+BY10+BY16+BY22+BY28+BY35+BY41</f>
        <v>67762</v>
      </c>
      <c r="BZ45" s="231" t="n">
        <f aca="false">BZ5+BZ10+BZ16+BZ22+BZ28+BZ35+BZ41</f>
        <v>0</v>
      </c>
      <c r="CA45" s="231" t="n">
        <f aca="false">CA5+CA10+CA16+CA22+CA28+CA35+CA41</f>
        <v>0</v>
      </c>
      <c r="CB45" s="231" t="n">
        <f aca="false">CB5+CB10+CB16+CB22+CB28+CB35+CB41</f>
        <v>76499</v>
      </c>
      <c r="CC45" s="231" t="n">
        <f aca="false">CC5+CC10+CC16+CC22+CC28+CC35+CC41</f>
        <v>0</v>
      </c>
      <c r="CD45" s="231" t="n">
        <f aca="false">CD5+CD10+CD16+CD22+CD28+CD35+CD41</f>
        <v>0</v>
      </c>
      <c r="CE45" s="231" t="n">
        <f aca="false">CE5+CE10+CE16+CE22+CE28+CE35+CE41</f>
        <v>76499</v>
      </c>
      <c r="CF45" s="231" t="n">
        <f aca="false">CF5+CF10+CF16+CF22+CF28+CF35+CF41</f>
        <v>0</v>
      </c>
      <c r="CG45" s="231" t="n">
        <f aca="false">CG5+CG10+CG16+CG22+CG28+CG35+CG41</f>
        <v>0</v>
      </c>
      <c r="CH45" s="231" t="n">
        <f aca="false">CH5+CH10+CH16+CH22+CH28+CH35+CH41</f>
        <v>83107.0266064792</v>
      </c>
    </row>
    <row r="46" customFormat="false" ht="15" hidden="false" customHeight="true" outlineLevel="0" collapsed="false">
      <c r="A46" s="2" t="s">
        <v>761</v>
      </c>
      <c r="B46" s="3"/>
      <c r="C46" s="232" t="n">
        <f aca="false">C45</f>
        <v>33281.25</v>
      </c>
      <c r="D46" s="232" t="n">
        <f aca="false">C46+D45</f>
        <v>66562.5</v>
      </c>
      <c r="E46" s="232" t="n">
        <f aca="false">D46+E45</f>
        <v>99843.75</v>
      </c>
      <c r="F46" s="232" t="n">
        <f aca="false">E46+F45</f>
        <v>133125</v>
      </c>
      <c r="G46" s="232" t="n">
        <f aca="false">F46+G45</f>
        <v>293920.25</v>
      </c>
      <c r="H46" s="232" t="n">
        <f aca="false">G46+H45</f>
        <v>327201.5</v>
      </c>
      <c r="I46" s="232" t="n">
        <f aca="false">H46+I45</f>
        <v>360482.75</v>
      </c>
      <c r="J46" s="232" t="n">
        <f aca="false">I46+J45</f>
        <v>384389</v>
      </c>
      <c r="K46" s="232" t="n">
        <f aca="false">J46+K45</f>
        <v>408295.25</v>
      </c>
      <c r="L46" s="232" t="n">
        <f aca="false">K46+L45</f>
        <v>299907.394736842</v>
      </c>
      <c r="M46" s="232" t="n">
        <f aca="false">L46+M45</f>
        <v>174358.434210526</v>
      </c>
      <c r="N46" s="232" t="n">
        <f aca="false">M46+N45</f>
        <v>204580.473684211</v>
      </c>
      <c r="O46" s="232" t="n">
        <f aca="false">N46+O45</f>
        <v>234802.513157895</v>
      </c>
      <c r="P46" s="232" t="n">
        <f aca="false">O46+P45</f>
        <v>265024.552631579</v>
      </c>
      <c r="Q46" s="232" t="n">
        <f aca="false">P46+Q45</f>
        <v>295246.592105263</v>
      </c>
      <c r="R46" s="232" t="n">
        <f aca="false">Q46+R45</f>
        <v>301562.381578947</v>
      </c>
      <c r="S46" s="232" t="n">
        <f aca="false">R46+S45</f>
        <v>307878.171052632</v>
      </c>
      <c r="T46" s="232" t="n">
        <f aca="false">S46+T45</f>
        <v>314193.960526316</v>
      </c>
      <c r="U46" s="232" t="n">
        <f aca="false">T46+U45</f>
        <v>320509.75</v>
      </c>
      <c r="V46" s="232" t="n">
        <f aca="false">U46+V45</f>
        <v>326825.539473684</v>
      </c>
      <c r="W46" s="232" t="n">
        <f aca="false">V46+W45</f>
        <v>390516.328947369</v>
      </c>
      <c r="X46" s="232" t="n">
        <f aca="false">W46+X45</f>
        <v>396832.118421053</v>
      </c>
      <c r="Y46" s="232" t="n">
        <f aca="false">X46+Y45</f>
        <v>403147.907894737</v>
      </c>
      <c r="Z46" s="232" t="n">
        <f aca="false">Y46+Z45</f>
        <v>466838.697368421</v>
      </c>
      <c r="AA46" s="232" t="n">
        <f aca="false">Z46+AA45</f>
        <v>473154.486842105</v>
      </c>
      <c r="AB46" s="232" t="n">
        <f aca="false">AA46+AB45</f>
        <v>479470.27631579</v>
      </c>
      <c r="AC46" s="232" t="n">
        <f aca="false">AB46+AC45</f>
        <v>543161.065789474</v>
      </c>
      <c r="AD46" s="232" t="n">
        <f aca="false">AC46+AD45</f>
        <v>549476.855263158</v>
      </c>
      <c r="AE46" s="232" t="n">
        <f aca="false">AD46+AE45</f>
        <v>552634.75</v>
      </c>
      <c r="AF46" s="232" t="n">
        <f aca="false">AE46+AF45</f>
        <v>552634.75</v>
      </c>
      <c r="AG46" s="232" t="n">
        <f aca="false">AF46+AG45</f>
        <v>552634.75</v>
      </c>
      <c r="AH46" s="232" t="n">
        <f aca="false">AG46+AH45</f>
        <v>552634.75</v>
      </c>
      <c r="AI46" s="232" t="n">
        <f aca="false">AH46+AI45</f>
        <v>552634.75</v>
      </c>
      <c r="AJ46" s="232" t="n">
        <f aca="false">AI46+AJ45</f>
        <v>552634.75</v>
      </c>
      <c r="AK46" s="232" t="n">
        <f aca="false">AJ46+AK45</f>
        <v>552634.75</v>
      </c>
      <c r="AL46" s="232" t="n">
        <f aca="false">AK46+AL45</f>
        <v>552634.75</v>
      </c>
      <c r="AM46" s="232" t="n">
        <f aca="false">AL46+AM45</f>
        <v>552634.75</v>
      </c>
      <c r="AN46" s="232" t="n">
        <f aca="false">AM46+AN45</f>
        <v>552634.75</v>
      </c>
      <c r="AO46" s="232" t="n">
        <f aca="false">AN46+AO45</f>
        <v>552634.75</v>
      </c>
      <c r="AP46" s="232" t="n">
        <f aca="false">AO46+AP45</f>
        <v>552634.75</v>
      </c>
      <c r="AQ46" s="232" t="n">
        <f aca="false">AP46+AQ45</f>
        <v>552634.75</v>
      </c>
      <c r="AR46" s="232" t="n">
        <f aca="false">AQ46+AR45</f>
        <v>552634.75</v>
      </c>
      <c r="AS46" s="232" t="n">
        <f aca="false">AR46+AS45</f>
        <v>552634.75</v>
      </c>
      <c r="AT46" s="232" t="n">
        <f aca="false">AS46+AT45</f>
        <v>552634.75</v>
      </c>
      <c r="AU46" s="232" t="n">
        <f aca="false">AT46+AU45</f>
        <v>552634.75</v>
      </c>
      <c r="AV46" s="232" t="n">
        <f aca="false">AU46+AV45</f>
        <v>552634.75</v>
      </c>
      <c r="AW46" s="232" t="n">
        <f aca="false">AV46+AW45</f>
        <v>552634.75</v>
      </c>
      <c r="AX46" s="232" t="n">
        <f aca="false">AW46+AX45</f>
        <v>552634.75</v>
      </c>
      <c r="AY46" s="232" t="n">
        <f aca="false">AX46+AY45</f>
        <v>552634.75</v>
      </c>
      <c r="AZ46" s="232" t="n">
        <f aca="false">AY46+AZ45</f>
        <v>552634.75</v>
      </c>
      <c r="BA46" s="232" t="n">
        <f aca="false">AZ46+BA45</f>
        <v>552634.75</v>
      </c>
      <c r="BB46" s="232" t="n">
        <f aca="false">BA46+BB45</f>
        <v>552634.75</v>
      </c>
      <c r="BC46" s="232" t="n">
        <f aca="false">BB46+BC45</f>
        <v>552634.75</v>
      </c>
      <c r="BD46" s="232" t="n">
        <f aca="false">BC46+BD45</f>
        <v>552634.75</v>
      </c>
      <c r="BE46" s="232" t="n">
        <f aca="false">BD46+BE45</f>
        <v>552634.75</v>
      </c>
      <c r="BF46" s="232" t="n">
        <f aca="false">BE46+BF45</f>
        <v>552634.75</v>
      </c>
      <c r="BG46" s="232" t="n">
        <f aca="false">BF46+BG45</f>
        <v>552634.75</v>
      </c>
      <c r="BH46" s="232" t="n">
        <f aca="false">BG46+BH45</f>
        <v>552634.75</v>
      </c>
      <c r="BI46" s="232" t="n">
        <f aca="false">BH46+BI45</f>
        <v>552634.75</v>
      </c>
      <c r="BJ46" s="232" t="n">
        <f aca="false">BI46+BJ45</f>
        <v>552634.75</v>
      </c>
      <c r="BK46" s="232" t="n">
        <f aca="false">BJ46+BK45</f>
        <v>552634.75</v>
      </c>
      <c r="BL46" s="232" t="n">
        <f aca="false">BK46+BL45</f>
        <v>552634.75</v>
      </c>
      <c r="BM46" s="232" t="n">
        <f aca="false">BL46+BM45</f>
        <v>552634.75</v>
      </c>
      <c r="BN46" s="232" t="n">
        <f aca="false">BM46+BN45</f>
        <v>552634.75</v>
      </c>
      <c r="BO46" s="232" t="n">
        <f aca="false">BN46+BO45</f>
        <v>552634.75</v>
      </c>
      <c r="BP46" s="232" t="n">
        <f aca="false">BO46+BP45</f>
        <v>605885.1</v>
      </c>
      <c r="BQ46" s="232" t="n">
        <f aca="false">BP46+BQ45</f>
        <v>605885.1</v>
      </c>
      <c r="BR46" s="232" t="n">
        <f aca="false">BQ46+BR45</f>
        <v>605885.1</v>
      </c>
      <c r="BS46" s="232" t="n">
        <f aca="false">BR46+BS45</f>
        <v>673647.1</v>
      </c>
      <c r="BT46" s="232" t="n">
        <f aca="false">BS46+BT45</f>
        <v>673647.1</v>
      </c>
      <c r="BU46" s="232" t="n">
        <f aca="false">BT46+BU45</f>
        <v>673647.1</v>
      </c>
      <c r="BV46" s="232" t="n">
        <f aca="false">BU46+BV45</f>
        <v>741409.1</v>
      </c>
      <c r="BW46" s="232" t="n">
        <f aca="false">BV46+BW45</f>
        <v>741409.1</v>
      </c>
      <c r="BX46" s="232" t="n">
        <f aca="false">BW46+BX45</f>
        <v>741409.1</v>
      </c>
      <c r="BY46" s="232" t="n">
        <f aca="false">BX46+BY45</f>
        <v>809171.1</v>
      </c>
      <c r="BZ46" s="232" t="n">
        <f aca="false">BY46+BZ45</f>
        <v>809171.1</v>
      </c>
      <c r="CA46" s="232" t="n">
        <f aca="false">BZ46+CA45</f>
        <v>809171.1</v>
      </c>
      <c r="CB46" s="232" t="n">
        <f aca="false">CA46+CB45</f>
        <v>885670.1</v>
      </c>
      <c r="CC46" s="232" t="n">
        <f aca="false">CB46+CC45</f>
        <v>885670.1</v>
      </c>
      <c r="CD46" s="232" t="n">
        <f aca="false">CC46+CD45</f>
        <v>885670.1</v>
      </c>
      <c r="CE46" s="232" t="n">
        <f aca="false">CD46+CE45</f>
        <v>962169.1</v>
      </c>
      <c r="CF46" s="232" t="n">
        <f aca="false">CE46+CF45</f>
        <v>962169.1</v>
      </c>
      <c r="CG46" s="232" t="n">
        <f aca="false">CF46+CG45</f>
        <v>962169.1</v>
      </c>
      <c r="CH46" s="232" t="n">
        <f aca="false">CG46+CH45</f>
        <v>1045276.12660648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762</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763</v>
      </c>
      <c r="B49" s="23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764</v>
      </c>
      <c r="B50" s="23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765</v>
      </c>
      <c r="B51" s="23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766</v>
      </c>
      <c r="B52" s="23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767</v>
      </c>
      <c r="B53" s="23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768</v>
      </c>
      <c r="B54" s="23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769</v>
      </c>
      <c r="B55" s="236" t="s">
        <v>770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771</v>
      </c>
      <c r="B56" s="23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772</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773</v>
      </c>
      <c r="B3" s="4"/>
      <c r="C3" s="4"/>
      <c r="D3" s="4"/>
      <c r="E3" s="4"/>
      <c r="F3" s="4"/>
      <c r="G3" s="4"/>
      <c r="H3" s="3"/>
      <c r="I3" s="3"/>
    </row>
    <row r="4" customFormat="false" ht="15" hidden="false" customHeight="true" outlineLevel="0" collapsed="false">
      <c r="A4" s="23" t="s">
        <v>774</v>
      </c>
      <c r="B4" s="23" t="s">
        <v>775</v>
      </c>
      <c r="C4" s="23" t="s">
        <v>776</v>
      </c>
      <c r="D4" s="23" t="s">
        <v>777</v>
      </c>
      <c r="E4" s="23" t="s">
        <v>778</v>
      </c>
      <c r="F4" s="23" t="s">
        <v>779</v>
      </c>
      <c r="G4" s="23" t="s">
        <v>780</v>
      </c>
      <c r="H4" s="3"/>
      <c r="I4" s="3"/>
    </row>
    <row r="5" customFormat="false" ht="15" hidden="false" customHeight="true" outlineLevel="0" collapsed="false">
      <c r="A5" s="79" t="s">
        <v>781</v>
      </c>
      <c r="B5" s="238" t="n">
        <f aca="false">Assumptions!B4</f>
        <v>0.06</v>
      </c>
      <c r="C5" s="239" t="n">
        <v>0.06</v>
      </c>
      <c r="D5" s="240" t="n">
        <v>0.04</v>
      </c>
      <c r="E5" s="240" t="n">
        <v>0.08</v>
      </c>
      <c r="F5" s="79" t="s">
        <v>782</v>
      </c>
      <c r="G5" s="69" t="s">
        <v>783</v>
      </c>
      <c r="H5" s="3"/>
      <c r="I5" s="3"/>
    </row>
    <row r="6" customFormat="false" ht="15" hidden="false" customHeight="true" outlineLevel="0" collapsed="false">
      <c r="A6" s="79" t="s">
        <v>784</v>
      </c>
      <c r="B6" s="238" t="n">
        <f aca="false">Assumptions!B5</f>
        <v>0.06</v>
      </c>
      <c r="C6" s="239" t="n">
        <v>0.06</v>
      </c>
      <c r="D6" s="240" t="n">
        <v>0.04</v>
      </c>
      <c r="E6" s="240" t="n">
        <v>0.08</v>
      </c>
      <c r="F6" s="79" t="s">
        <v>782</v>
      </c>
      <c r="G6" s="69" t="s">
        <v>783</v>
      </c>
      <c r="H6" s="3"/>
      <c r="I6" s="3"/>
    </row>
    <row r="7" customFormat="false" ht="15" hidden="false" customHeight="true" outlineLevel="0" collapsed="false">
      <c r="A7" s="79" t="s">
        <v>785</v>
      </c>
      <c r="B7" s="238" t="n">
        <f aca="false">Assumptions!B6</f>
        <v>0.02</v>
      </c>
      <c r="C7" s="239" t="n">
        <v>0.02</v>
      </c>
      <c r="D7" s="240" t="n">
        <v>0.01</v>
      </c>
      <c r="E7" s="240" t="n">
        <v>0.03</v>
      </c>
      <c r="F7" s="79" t="s">
        <v>782</v>
      </c>
      <c r="G7" s="69" t="s">
        <v>786</v>
      </c>
      <c r="H7" s="3"/>
      <c r="I7" s="3"/>
    </row>
    <row r="8" customFormat="false" ht="15" hidden="false" customHeight="true" outlineLevel="0" collapsed="false">
      <c r="A8" s="79"/>
      <c r="B8" s="238"/>
      <c r="C8" s="239"/>
      <c r="D8" s="240"/>
      <c r="E8" s="240"/>
      <c r="F8" s="79"/>
      <c r="G8" s="69"/>
      <c r="H8" s="3"/>
      <c r="I8" s="3"/>
    </row>
    <row r="9" customFormat="false" ht="15" hidden="false" customHeight="true" outlineLevel="0" collapsed="false">
      <c r="A9" s="79" t="s">
        <v>787</v>
      </c>
      <c r="B9" s="238" t="n">
        <f aca="false">Assumptions!B26</f>
        <v>0.02</v>
      </c>
      <c r="C9" s="239" t="n">
        <v>0.02</v>
      </c>
      <c r="D9" s="240" t="n">
        <v>0</v>
      </c>
      <c r="E9" s="240" t="n">
        <v>0.04</v>
      </c>
      <c r="F9" s="79" t="s">
        <v>782</v>
      </c>
      <c r="G9" s="69" t="s">
        <v>788</v>
      </c>
      <c r="H9" s="3"/>
      <c r="I9" s="3"/>
    </row>
    <row r="10" customFormat="false" ht="15" hidden="false" customHeight="true" outlineLevel="0" collapsed="false">
      <c r="A10" s="79" t="s">
        <v>789</v>
      </c>
      <c r="B10" s="238" t="n">
        <f aca="false">Assumptions!B15</f>
        <v>0.015</v>
      </c>
      <c r="C10" s="239" t="n">
        <v>0.015</v>
      </c>
      <c r="D10" s="240" t="n">
        <v>0.01</v>
      </c>
      <c r="E10" s="240" t="n">
        <v>0.02</v>
      </c>
      <c r="F10" s="79" t="s">
        <v>782</v>
      </c>
      <c r="G10" s="69" t="s">
        <v>790</v>
      </c>
      <c r="H10" s="3"/>
      <c r="I10" s="3"/>
    </row>
    <row r="11" customFormat="false" ht="15" hidden="false" customHeight="true" outlineLevel="0" collapsed="false">
      <c r="A11" s="79" t="s">
        <v>791</v>
      </c>
      <c r="B11" s="238" t="n">
        <f aca="false">Assumptions!B16</f>
        <v>0.0074</v>
      </c>
      <c r="C11" s="239" t="n">
        <v>0.0074</v>
      </c>
      <c r="D11" s="240" t="n">
        <v>0.005</v>
      </c>
      <c r="E11" s="240" t="n">
        <v>0.015</v>
      </c>
      <c r="F11" s="79" t="s">
        <v>782</v>
      </c>
      <c r="G11" s="69" t="s">
        <v>792</v>
      </c>
      <c r="H11" s="3"/>
      <c r="I11" s="3"/>
    </row>
    <row r="12" customFormat="false" ht="15" hidden="false" customHeight="true" outlineLevel="0" collapsed="false">
      <c r="A12" s="79" t="s">
        <v>793</v>
      </c>
      <c r="B12" s="238" t="n">
        <f aca="false">Assumptions!B17</f>
        <v>0.0325</v>
      </c>
      <c r="C12" s="239" t="n">
        <v>0.0325</v>
      </c>
      <c r="D12" s="240" t="n">
        <v>0.02</v>
      </c>
      <c r="E12" s="240" t="n">
        <v>0.05</v>
      </c>
      <c r="F12" s="79" t="s">
        <v>782</v>
      </c>
      <c r="G12" s="69" t="s">
        <v>794</v>
      </c>
      <c r="H12" s="3"/>
      <c r="I12" s="3"/>
    </row>
    <row r="13" customFormat="false" ht="15" hidden="false" customHeight="true" outlineLevel="0" collapsed="false">
      <c r="A13" s="79" t="s">
        <v>795</v>
      </c>
      <c r="B13" s="238" t="n">
        <f aca="false">Assumptions!B34</f>
        <v>0.15</v>
      </c>
      <c r="C13" s="239" t="n">
        <v>0.15</v>
      </c>
      <c r="D13" s="240" t="n">
        <v>0.1</v>
      </c>
      <c r="E13" s="240" t="n">
        <v>0.2</v>
      </c>
      <c r="F13" s="79" t="s">
        <v>782</v>
      </c>
      <c r="G13" s="69" t="s">
        <v>796</v>
      </c>
      <c r="H13" s="3"/>
      <c r="I13" s="3"/>
    </row>
    <row r="14" customFormat="false" ht="15" hidden="false" customHeight="true" outlineLevel="0" collapsed="false">
      <c r="A14" s="79" t="s">
        <v>797</v>
      </c>
      <c r="B14" s="229" t="n">
        <f aca="false">Assumptions!B36</f>
        <v>112000</v>
      </c>
      <c r="C14" s="241" t="n">
        <v>130000</v>
      </c>
      <c r="D14" s="242" t="n">
        <v>100000</v>
      </c>
      <c r="E14" s="242" t="n">
        <v>175000</v>
      </c>
      <c r="F14" s="79" t="s">
        <v>798</v>
      </c>
      <c r="G14" s="69" t="s">
        <v>799</v>
      </c>
      <c r="H14" s="3"/>
      <c r="I14" s="3"/>
    </row>
    <row r="15" customFormat="false" ht="15" hidden="false" customHeight="true" outlineLevel="0" collapsed="false">
      <c r="A15" s="79" t="s">
        <v>800</v>
      </c>
      <c r="B15" s="238" t="n">
        <f aca="false">Assumptions!B58</f>
        <v>0.15</v>
      </c>
      <c r="C15" s="239" t="n">
        <v>0.15</v>
      </c>
      <c r="D15" s="240" t="n">
        <v>0.1</v>
      </c>
      <c r="E15" s="240" t="n">
        <v>0.2</v>
      </c>
      <c r="F15" s="79" t="s">
        <v>782</v>
      </c>
      <c r="G15" s="69" t="s">
        <v>801</v>
      </c>
      <c r="H15" s="3"/>
      <c r="I15" s="3"/>
    </row>
    <row r="16" customFormat="false" ht="15" hidden="false" customHeight="true" outlineLevel="0" collapsed="false">
      <c r="A16" s="79" t="s">
        <v>802</v>
      </c>
      <c r="B16" s="238" t="n">
        <f aca="false">Assumptions!B47</f>
        <v>0.01</v>
      </c>
      <c r="C16" s="239" t="n">
        <v>0.01</v>
      </c>
      <c r="D16" s="240" t="n">
        <v>0.005</v>
      </c>
      <c r="E16" s="240" t="n">
        <v>0.02</v>
      </c>
      <c r="F16" s="79" t="s">
        <v>782</v>
      </c>
      <c r="G16" s="69" t="s">
        <v>803</v>
      </c>
      <c r="H16" s="3"/>
      <c r="I16" s="3"/>
    </row>
    <row r="17" customFormat="false" ht="15" hidden="false" customHeight="true" outlineLevel="0" collapsed="false">
      <c r="A17" s="79" t="s">
        <v>804</v>
      </c>
      <c r="B17" s="238" t="n">
        <f aca="false">Assumptions!B48</f>
        <v>0.03</v>
      </c>
      <c r="C17" s="239" t="n">
        <v>0.03</v>
      </c>
      <c r="D17" s="240" t="n">
        <v>0.02</v>
      </c>
      <c r="E17" s="240" t="n">
        <v>0.05</v>
      </c>
      <c r="F17" s="79" t="s">
        <v>782</v>
      </c>
      <c r="G17" s="69" t="s">
        <v>805</v>
      </c>
      <c r="H17" s="3"/>
      <c r="I17" s="3"/>
    </row>
    <row r="18" customFormat="false" ht="15" hidden="false" customHeight="true" outlineLevel="0" collapsed="false">
      <c r="A18" s="79" t="s">
        <v>806</v>
      </c>
      <c r="B18" s="243" t="n">
        <v>10</v>
      </c>
      <c r="C18" s="244" t="n">
        <v>10</v>
      </c>
      <c r="D18" s="245" t="n">
        <v>5</v>
      </c>
      <c r="E18" s="245" t="n">
        <v>15</v>
      </c>
      <c r="F18" s="79" t="s">
        <v>807</v>
      </c>
      <c r="G18" s="69" t="s">
        <v>808</v>
      </c>
      <c r="H18" s="3"/>
      <c r="I18" s="3"/>
    </row>
    <row r="19" customFormat="false" ht="15" hidden="false" customHeight="true" outlineLevel="0" collapsed="false">
      <c r="A19" s="79" t="s">
        <v>809</v>
      </c>
      <c r="B19" s="246" t="n">
        <v>18700</v>
      </c>
      <c r="C19" s="241" t="n">
        <v>18700</v>
      </c>
      <c r="D19" s="242" t="n">
        <v>15000</v>
      </c>
      <c r="E19" s="242" t="n">
        <v>25000</v>
      </c>
      <c r="F19" s="79" t="s">
        <v>798</v>
      </c>
      <c r="G19" s="69" t="s">
        <v>810</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811</v>
      </c>
      <c r="B22" s="4"/>
      <c r="C22" s="4"/>
      <c r="D22" s="4"/>
      <c r="E22" s="4"/>
      <c r="F22" s="4"/>
      <c r="G22" s="4"/>
      <c r="H22" s="3"/>
      <c r="I22" s="3"/>
    </row>
    <row r="23" customFormat="false" ht="15" hidden="false" customHeight="true" outlineLevel="0" collapsed="false">
      <c r="A23" s="23" t="s">
        <v>589</v>
      </c>
      <c r="B23" s="23" t="s">
        <v>595</v>
      </c>
      <c r="C23" s="23" t="s">
        <v>812</v>
      </c>
      <c r="D23" s="23" t="s">
        <v>600</v>
      </c>
      <c r="E23" s="23" t="s">
        <v>592</v>
      </c>
      <c r="F23" s="23" t="s">
        <v>813</v>
      </c>
      <c r="G23" s="23" t="s">
        <v>599</v>
      </c>
      <c r="H23" s="3"/>
      <c r="I23" s="3"/>
    </row>
    <row r="24" customFormat="false" ht="15" hidden="false" customHeight="true" outlineLevel="0" collapsed="false">
      <c r="A24" s="79" t="s">
        <v>7</v>
      </c>
      <c r="B24" s="247" t="str">
        <f aca="false">Projects!$G$2</f>
        <v>Yes</v>
      </c>
      <c r="C24" s="246" t="n">
        <v>5321971</v>
      </c>
      <c r="D24" s="79" t="s">
        <v>814</v>
      </c>
      <c r="E24" s="79" t="s">
        <v>815</v>
      </c>
      <c r="F24" s="79" t="s">
        <v>611</v>
      </c>
      <c r="G24" s="79" t="s">
        <v>611</v>
      </c>
      <c r="H24" s="3"/>
      <c r="I24" s="3"/>
    </row>
    <row r="25" customFormat="false" ht="15" hidden="false" customHeight="true" outlineLevel="0" collapsed="false">
      <c r="A25" s="79" t="s">
        <v>8</v>
      </c>
      <c r="B25" s="247" t="str">
        <f aca="false">Projects!$G$3</f>
        <v>Yes</v>
      </c>
      <c r="C25" s="246" t="n">
        <v>19982132</v>
      </c>
      <c r="D25" s="79" t="s">
        <v>814</v>
      </c>
      <c r="E25" s="79" t="s">
        <v>816</v>
      </c>
      <c r="F25" s="79" t="s">
        <v>611</v>
      </c>
      <c r="G25" s="79" t="s">
        <v>611</v>
      </c>
      <c r="H25" s="3"/>
      <c r="I25" s="3"/>
    </row>
    <row r="26" customFormat="false" ht="15" hidden="false" customHeight="true" outlineLevel="0" collapsed="false">
      <c r="A26" s="79" t="s">
        <v>9</v>
      </c>
      <c r="B26" s="247" t="str">
        <f aca="false">Projects!$G$4</f>
        <v>Yes</v>
      </c>
      <c r="C26" s="246" t="n">
        <v>11673185</v>
      </c>
      <c r="D26" s="79" t="s">
        <v>817</v>
      </c>
      <c r="E26" s="79" t="s">
        <v>818</v>
      </c>
      <c r="F26" s="79" t="s">
        <v>611</v>
      </c>
      <c r="G26" s="79" t="s">
        <v>612</v>
      </c>
      <c r="H26" s="3"/>
      <c r="I26" s="3"/>
    </row>
    <row r="27" customFormat="false" ht="15" hidden="false" customHeight="true" outlineLevel="0" collapsed="false">
      <c r="A27" s="79" t="s">
        <v>10</v>
      </c>
      <c r="B27" s="247" t="str">
        <f aca="false">Projects!$G$5</f>
        <v>Yes</v>
      </c>
      <c r="C27" s="246" t="n">
        <v>13492534</v>
      </c>
      <c r="D27" s="79" t="s">
        <v>817</v>
      </c>
      <c r="E27" s="79" t="s">
        <v>818</v>
      </c>
      <c r="F27" s="79" t="s">
        <v>611</v>
      </c>
      <c r="G27" s="79" t="s">
        <v>612</v>
      </c>
      <c r="H27" s="3"/>
      <c r="I27" s="3"/>
    </row>
    <row r="28" customFormat="false" ht="15" hidden="false" customHeight="true" outlineLevel="0" collapsed="false">
      <c r="A28" s="79" t="s">
        <v>11</v>
      </c>
      <c r="B28" s="247" t="str">
        <f aca="false">Projects!$G$6</f>
        <v>Yes</v>
      </c>
      <c r="C28" s="246" t="n">
        <v>4052747</v>
      </c>
      <c r="D28" s="79" t="s">
        <v>817</v>
      </c>
      <c r="E28" s="79" t="s">
        <v>819</v>
      </c>
      <c r="F28" s="79" t="s">
        <v>611</v>
      </c>
      <c r="G28" s="79" t="s">
        <v>612</v>
      </c>
      <c r="H28" s="3"/>
      <c r="I28" s="3"/>
    </row>
    <row r="29" customFormat="false" ht="15" hidden="false" customHeight="true" outlineLevel="0" collapsed="false">
      <c r="A29" s="79" t="s">
        <v>12</v>
      </c>
      <c r="B29" s="247" t="str">
        <f aca="false">Projects!$G$7</f>
        <v>Yes</v>
      </c>
      <c r="C29" s="246" t="n">
        <v>42794765</v>
      </c>
      <c r="D29" s="79" t="s">
        <v>814</v>
      </c>
      <c r="E29" s="79" t="s">
        <v>820</v>
      </c>
      <c r="F29" s="79" t="s">
        <v>612</v>
      </c>
      <c r="G29" s="79" t="s">
        <v>612</v>
      </c>
      <c r="H29" s="3"/>
      <c r="I29" s="3"/>
    </row>
    <row r="30" customFormat="false" ht="15" hidden="false" customHeight="true" outlineLevel="0" collapsed="false">
      <c r="A30" s="79" t="s">
        <v>13</v>
      </c>
      <c r="B30" s="247" t="str">
        <f aca="false">Projects!$G$8</f>
        <v>Yes</v>
      </c>
      <c r="C30" s="246" t="n">
        <v>12993776.05</v>
      </c>
      <c r="D30" s="79" t="s">
        <v>817</v>
      </c>
      <c r="E30" s="79" t="s">
        <v>819</v>
      </c>
      <c r="F30" s="79" t="s">
        <v>611</v>
      </c>
      <c r="G30" s="79" t="s">
        <v>612</v>
      </c>
      <c r="H30" s="3"/>
      <c r="I30" s="3"/>
    </row>
    <row r="31" customFormat="false" ht="15" hidden="false" customHeight="true" outlineLevel="0" collapsed="false">
      <c r="A31" s="79" t="s">
        <v>14</v>
      </c>
      <c r="B31" s="247" t="str">
        <f aca="false">Projects!$G$9</f>
        <v>Yes</v>
      </c>
      <c r="C31" s="246" t="n">
        <v>14337010.8</v>
      </c>
      <c r="D31" s="79" t="s">
        <v>817</v>
      </c>
      <c r="E31" s="79" t="s">
        <v>821</v>
      </c>
      <c r="F31" s="79" t="s">
        <v>611</v>
      </c>
      <c r="G31" s="79" t="s">
        <v>612</v>
      </c>
      <c r="H31" s="3"/>
      <c r="I31" s="3"/>
    </row>
    <row r="32" customFormat="false" ht="15" hidden="false" customHeight="true" outlineLevel="0" collapsed="false">
      <c r="A32" s="79" t="s">
        <v>15</v>
      </c>
      <c r="B32" s="247" t="str">
        <f aca="false">Projects!$G$10</f>
        <v>Yes</v>
      </c>
      <c r="C32" s="246" t="n">
        <v>21263405</v>
      </c>
      <c r="D32" s="79" t="s">
        <v>817</v>
      </c>
      <c r="E32" s="79" t="s">
        <v>819</v>
      </c>
      <c r="F32" s="79" t="s">
        <v>611</v>
      </c>
      <c r="G32" s="79" t="s">
        <v>612</v>
      </c>
      <c r="H32" s="3"/>
      <c r="I32" s="3"/>
    </row>
    <row r="33" customFormat="false" ht="15" hidden="false" customHeight="true" outlineLevel="0" collapsed="false">
      <c r="A33" s="79" t="s">
        <v>16</v>
      </c>
      <c r="B33" s="247" t="str">
        <f aca="false">Projects!$G$11</f>
        <v>Yes</v>
      </c>
      <c r="C33" s="246" t="n">
        <v>9577109</v>
      </c>
      <c r="D33" s="79" t="s">
        <v>814</v>
      </c>
      <c r="E33" s="79" t="s">
        <v>819</v>
      </c>
      <c r="F33" s="79" t="s">
        <v>612</v>
      </c>
      <c r="G33" s="79" t="s">
        <v>611</v>
      </c>
      <c r="H33" s="3"/>
      <c r="I33" s="3"/>
    </row>
    <row r="34" customFormat="false" ht="15" hidden="false" customHeight="true" outlineLevel="0" collapsed="false">
      <c r="A34" s="79" t="s">
        <v>17</v>
      </c>
      <c r="B34" s="247" t="str">
        <f aca="false">Projects!$G$12</f>
        <v>Yes</v>
      </c>
      <c r="C34" s="246" t="n">
        <v>7545203</v>
      </c>
      <c r="D34" s="79" t="s">
        <v>814</v>
      </c>
      <c r="E34" s="79" t="s">
        <v>819</v>
      </c>
      <c r="F34" s="79" t="s">
        <v>612</v>
      </c>
      <c r="G34" s="79" t="s">
        <v>611</v>
      </c>
      <c r="H34" s="3"/>
      <c r="I34" s="3"/>
    </row>
    <row r="35" customFormat="false" ht="15" hidden="false" customHeight="true" outlineLevel="0" collapsed="false">
      <c r="A35" s="79" t="s">
        <v>18</v>
      </c>
      <c r="B35" s="247" t="str">
        <f aca="false">Projects!$G$13</f>
        <v>Yes</v>
      </c>
      <c r="C35" s="246" t="n">
        <v>45266770</v>
      </c>
      <c r="D35" s="79" t="s">
        <v>814</v>
      </c>
      <c r="E35" s="79" t="s">
        <v>821</v>
      </c>
      <c r="F35" s="79" t="s">
        <v>612</v>
      </c>
      <c r="G35" s="79" t="s">
        <v>612</v>
      </c>
      <c r="H35" s="3"/>
      <c r="I35" s="3"/>
    </row>
    <row r="36" customFormat="false" ht="15" hidden="false" customHeight="true" outlineLevel="0" collapsed="false">
      <c r="A36" s="79" t="s">
        <v>19</v>
      </c>
      <c r="B36" s="247" t="str">
        <f aca="false">Projects!$G$14</f>
        <v>No</v>
      </c>
      <c r="C36" s="246" t="n">
        <v>41354632</v>
      </c>
      <c r="D36" s="79" t="s">
        <v>814</v>
      </c>
      <c r="E36" s="79" t="s">
        <v>821</v>
      </c>
      <c r="F36" s="79" t="s">
        <v>612</v>
      </c>
      <c r="G36" s="79" t="s">
        <v>612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822</v>
      </c>
      <c r="B39" s="4"/>
      <c r="C39" s="4"/>
      <c r="D39" s="4"/>
      <c r="E39" s="4"/>
      <c r="F39" s="4"/>
      <c r="G39" s="4"/>
      <c r="H39" s="4"/>
      <c r="I39" s="4"/>
    </row>
    <row r="40" customFormat="false" ht="15" hidden="false" customHeight="true" outlineLevel="0" collapsed="false">
      <c r="A40" s="23" t="s">
        <v>823</v>
      </c>
      <c r="B40" s="248" t="s">
        <v>276</v>
      </c>
      <c r="C40" s="248" t="s">
        <v>277</v>
      </c>
      <c r="D40" s="248" t="s">
        <v>278</v>
      </c>
      <c r="E40" s="248" t="s">
        <v>279</v>
      </c>
      <c r="F40" s="248" t="s">
        <v>280</v>
      </c>
      <c r="G40" s="248" t="s">
        <v>281</v>
      </c>
      <c r="H40" s="248" t="s">
        <v>282</v>
      </c>
      <c r="I40" s="248" t="s">
        <v>283</v>
      </c>
    </row>
    <row r="41" customFormat="false" ht="15" hidden="false" customHeight="true" outlineLevel="0" collapsed="false">
      <c r="A41" s="230" t="s">
        <v>824</v>
      </c>
      <c r="B41" s="231" t="n">
        <f aca="false">'Annual Summary'!B7</f>
        <v>56270843.8809994</v>
      </c>
      <c r="C41" s="231" t="n">
        <f aca="false">'Annual Summary'!C7</f>
        <v>87504365.1177738</v>
      </c>
      <c r="D41" s="231" t="n">
        <f aca="false">'Annual Summary'!D7</f>
        <v>70224120.7879419</v>
      </c>
      <c r="E41" s="231" t="n">
        <f aca="false">'Annual Summary'!E7</f>
        <v>20343586.890365</v>
      </c>
      <c r="F41" s="231" t="n">
        <f aca="false">'Annual Summary'!F7</f>
        <v>0</v>
      </c>
      <c r="G41" s="231" t="n">
        <f aca="false">'Annual Summary'!G7</f>
        <v>0</v>
      </c>
      <c r="H41" s="231" t="n">
        <f aca="false">'Annual Summary'!H7</f>
        <v>0</v>
      </c>
      <c r="I41" s="231" t="n">
        <f aca="false">'Annual Summary'!I7</f>
        <v>0</v>
      </c>
    </row>
    <row r="42" customFormat="false" ht="15" hidden="false" customHeight="true" outlineLevel="0" collapsed="false">
      <c r="A42" s="249" t="s">
        <v>98</v>
      </c>
      <c r="B42" s="250" t="n">
        <f aca="false">'Annual Summary'!B22</f>
        <v>1991920.78875</v>
      </c>
      <c r="C42" s="250" t="n">
        <f aca="false">'Annual Summary'!C22</f>
        <v>3859347.5988965</v>
      </c>
      <c r="D42" s="250" t="n">
        <f aca="false">'Annual Summary'!D22</f>
        <v>2455745.3073617</v>
      </c>
      <c r="E42" s="250" t="n">
        <f aca="false">'Annual Summary'!E22</f>
        <v>-1777201.2732713</v>
      </c>
      <c r="F42" s="250" t="n">
        <f aca="false">'Annual Summary'!F22</f>
        <v>-5015836.97777965</v>
      </c>
      <c r="G42" s="250" t="n">
        <f aca="false">'Annual Summary'!G22</f>
        <v>-5107221.71733524</v>
      </c>
      <c r="H42" s="250" t="n">
        <f aca="false">'Annual Summary'!H22</f>
        <v>-5200434.15168195</v>
      </c>
      <c r="I42" s="250" t="n">
        <f aca="false">'Annual Summary'!I22</f>
        <v>-5295510.83471559</v>
      </c>
    </row>
    <row r="43" customFormat="false" ht="15" hidden="false" customHeight="true" outlineLevel="0" collapsed="false">
      <c r="A43" s="79" t="s">
        <v>825</v>
      </c>
      <c r="B43" s="238" t="n">
        <f aca="false">'Annual Summary'!B23</f>
        <v>0.0353988078259939</v>
      </c>
      <c r="C43" s="238" t="n">
        <f aca="false">'Annual Summary'!C23</f>
        <v>0.0441046294513665</v>
      </c>
      <c r="D43" s="238" t="n">
        <f aca="false">'Annual Summary'!D23</f>
        <v>0.0349701111214678</v>
      </c>
      <c r="E43" s="238" t="n">
        <f aca="false">'Annual Summary'!E23</f>
        <v>-0.0873592883520955</v>
      </c>
      <c r="F43" s="238" t="n">
        <f aca="false">'Annual Summary'!F23</f>
        <v>0</v>
      </c>
      <c r="G43" s="238" t="n">
        <f aca="false">'Annual Summary'!G23</f>
        <v>0</v>
      </c>
      <c r="H43" s="238" t="n">
        <f aca="false">'Annual Summary'!H23</f>
        <v>0</v>
      </c>
      <c r="I43" s="23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30" t="s">
        <v>100</v>
      </c>
      <c r="B45" s="231" t="n">
        <f aca="false">'Annual Summary'!B25</f>
        <v>911172.31</v>
      </c>
      <c r="C45" s="231" t="n">
        <f aca="false">'Annual Summary'!C25</f>
        <v>379044.078947368</v>
      </c>
      <c r="D45" s="231" t="n">
        <f aca="false">'Annual Summary'!D25</f>
        <v>241318.421052632</v>
      </c>
      <c r="E45" s="231" t="n">
        <f aca="false">'Annual Summary'!E25</f>
        <v>163365</v>
      </c>
      <c r="F45" s="231" t="n">
        <f aca="false">'Annual Summary'!F25</f>
        <v>1276957</v>
      </c>
      <c r="G45" s="231" t="n">
        <f aca="false">'Annual Summary'!G25</f>
        <v>546560</v>
      </c>
      <c r="H45" s="231" t="n">
        <f aca="false">'Annual Summary'!H25</f>
        <v>600527</v>
      </c>
      <c r="I45" s="231" t="n">
        <f aca="false">'Annual Summary'!I25</f>
        <v>1578610</v>
      </c>
    </row>
    <row r="46" customFormat="false" ht="15" hidden="false" customHeight="true" outlineLevel="0" collapsed="false">
      <c r="A46" s="249" t="s">
        <v>140</v>
      </c>
      <c r="B46" s="250" t="n">
        <f aca="false">'Annual Summary'!B27</f>
        <v>-1520555.34</v>
      </c>
      <c r="C46" s="250" t="n">
        <f aca="false">'Annual Summary'!C27</f>
        <v>-1983193.86105263</v>
      </c>
      <c r="D46" s="250" t="n">
        <f aca="false">'Annual Summary'!D27</f>
        <v>-2155126.15774737</v>
      </c>
      <c r="E46" s="250" t="n">
        <f aca="false">'Annual Summary'!E27</f>
        <v>-2440260.350376</v>
      </c>
      <c r="F46" s="250" t="n">
        <f aca="false">'Annual Summary'!F27</f>
        <v>-2484952.43738352</v>
      </c>
      <c r="G46" s="250" t="n">
        <f aca="false">'Annual Summary'!G27</f>
        <v>-2409526.01613119</v>
      </c>
      <c r="H46" s="250" t="n">
        <f aca="false">'Annual Summary'!H27</f>
        <v>-2288514.01345381</v>
      </c>
      <c r="I46" s="250" t="n">
        <f aca="false">'Annual Summary'!I27</f>
        <v>-1120607.58711641</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49" t="s">
        <v>151</v>
      </c>
      <c r="B48" s="250" t="n">
        <f aca="false">'Annual Summary'!B30</f>
        <v>474689.637400002</v>
      </c>
      <c r="C48" s="250" t="n">
        <f aca="false">'Annual Summary'!C30</f>
        <v>1877069.12087686</v>
      </c>
      <c r="D48" s="250" t="n">
        <f aca="false">'Annual Summary'!D30</f>
        <v>300619.149614336</v>
      </c>
      <c r="E48" s="250" t="n">
        <f aca="false">'Annual Summary'!E30</f>
        <v>-4217461.62364731</v>
      </c>
      <c r="F48" s="250" t="n">
        <f aca="false">'Annual Summary'!F30</f>
        <v>-7500789.41516317</v>
      </c>
      <c r="G48" s="250" t="n">
        <f aca="false">'Annual Summary'!G30</f>
        <v>-7516747.73346643</v>
      </c>
      <c r="H48" s="250" t="n">
        <f aca="false">'Annual Summary'!H30</f>
        <v>-7488948.16513576</v>
      </c>
      <c r="I48" s="250" t="n">
        <f aca="false">'Annual Summary'!I30</f>
        <v>-6416118.421832</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51" t="s">
        <v>826</v>
      </c>
      <c r="B50" s="252" t="n">
        <f aca="false">'Annual Summary'!B52</f>
        <v>1787225.81865</v>
      </c>
      <c r="C50" s="252" t="n">
        <f aca="false">'Annual Summary'!C52</f>
        <v>1163243.0685316</v>
      </c>
      <c r="D50" s="252" t="n">
        <f aca="false">'Annual Summary'!D52</f>
        <v>-689191.488165925</v>
      </c>
      <c r="E50" s="252" t="n">
        <f aca="false">'Annual Summary'!E52</f>
        <v>-4447790.34188791</v>
      </c>
      <c r="F50" s="252" t="n">
        <f aca="false">'Annual Summary'!F52</f>
        <v>-11948579.7570511</v>
      </c>
      <c r="G50" s="252" t="n">
        <f aca="false">'Annual Summary'!G52</f>
        <v>-19465327.4905175</v>
      </c>
      <c r="H50" s="252" t="n">
        <f aca="false">'Annual Summary'!H52</f>
        <v>-26954275.6556533</v>
      </c>
      <c r="I50" s="252" t="n">
        <f aca="false">'Annual Summary'!I52</f>
        <v>-33370394.0774853</v>
      </c>
    </row>
    <row r="51" customFormat="false" ht="15" hidden="false" customHeight="true" outlineLevel="0" collapsed="false">
      <c r="A51" s="251" t="s">
        <v>195</v>
      </c>
      <c r="B51" s="252" t="n">
        <f aca="false">'Annual Summary'!B49</f>
        <v>1970326.28</v>
      </c>
      <c r="C51" s="252" t="n">
        <f aca="false">'Annual Summary'!C49</f>
        <v>4127390.89551343</v>
      </c>
      <c r="D51" s="252" t="n">
        <f aca="false">'Annual Summary'!D49</f>
        <v>6968248.26436434</v>
      </c>
      <c r="E51" s="252" t="n">
        <f aca="false">'Annual Summary'!E49</f>
        <v>6095240.40135868</v>
      </c>
      <c r="F51" s="252" t="n">
        <f aca="false">'Annual Summary'!F49</f>
        <v>1079403.42357903</v>
      </c>
      <c r="G51" s="252" t="n">
        <f aca="false">'Annual Summary'!G49</f>
        <v>-4027818.29375621</v>
      </c>
      <c r="H51" s="252" t="n">
        <f aca="false">'Annual Summary'!H49</f>
        <v>-9228252.44543816</v>
      </c>
      <c r="I51" s="252" t="n">
        <f aca="false">'Annual Summary'!I49</f>
        <v>-14523763.2801537</v>
      </c>
    </row>
    <row r="52" customFormat="false" ht="15" hidden="false" customHeight="true" outlineLevel="0" collapsed="false">
      <c r="A52" s="251" t="s">
        <v>312</v>
      </c>
      <c r="B52" s="252" t="n">
        <f aca="false">'Annual Summary'!B50</f>
        <v>-183100.46135</v>
      </c>
      <c r="C52" s="252" t="n">
        <f aca="false">'Annual Summary'!C50</f>
        <v>-2964147.82698183</v>
      </c>
      <c r="D52" s="252" t="n">
        <f aca="false">'Annual Summary'!D50</f>
        <v>-7657439.75253026</v>
      </c>
      <c r="E52" s="252" t="n">
        <f aca="false">'Annual Summary'!E50</f>
        <v>-10543030.7432466</v>
      </c>
      <c r="F52" s="252" t="n">
        <f aca="false">'Annual Summary'!F50</f>
        <v>-13027983.1806301</v>
      </c>
      <c r="G52" s="252" t="n">
        <f aca="false">'Annual Summary'!G50</f>
        <v>-15437509.1967613</v>
      </c>
      <c r="H52" s="252" t="n">
        <f aca="false">'Annual Summary'!H50</f>
        <v>-17726023.2102151</v>
      </c>
      <c r="I52" s="252" t="n">
        <f aca="false">'Annual Summary'!I50</f>
        <v>-18846630.7973315</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183</v>
      </c>
      <c r="B54" s="229" t="n">
        <f aca="false">'Annual Summary'!B47</f>
        <v>73141594.1403182</v>
      </c>
      <c r="C54" s="229" t="n">
        <f aca="false">'Annual Summary'!C47</f>
        <v>83479181.902343</v>
      </c>
      <c r="D54" s="229" t="n">
        <f aca="false">'Annual Summary'!D47</f>
        <v>17213731.86939</v>
      </c>
      <c r="E54" s="229" t="n">
        <f aca="false">'Annual Summary'!E47</f>
        <v>0</v>
      </c>
      <c r="F54" s="229" t="n">
        <f aca="false">'Annual Summary'!F47</f>
        <v>0</v>
      </c>
      <c r="G54" s="229" t="n">
        <f aca="false">'Annual Summary'!G47</f>
        <v>0</v>
      </c>
      <c r="H54" s="229" t="n">
        <f aca="false">'Annual Summary'!H47</f>
        <v>0</v>
      </c>
      <c r="I54" s="229" t="n">
        <f aca="false">'Annual Summary'!I47</f>
        <v>0</v>
      </c>
    </row>
    <row r="55" customFormat="false" ht="15" hidden="false" customHeight="true" outlineLevel="0" collapsed="false">
      <c r="A55" s="79" t="s">
        <v>827</v>
      </c>
      <c r="B55" s="229" t="n">
        <f aca="false">'Annual Summary'!B45</f>
        <v>1695181.94921875</v>
      </c>
      <c r="C55" s="229" t="n">
        <f aca="false">'Annual Summary'!C45</f>
        <v>630279.327378641</v>
      </c>
      <c r="D55" s="229" t="n">
        <f aca="false">'Annual Summary'!D45</f>
        <v>730273.404257803</v>
      </c>
      <c r="E55" s="229" t="n">
        <f aca="false">'Annual Summary'!E45</f>
        <v>846131.582935293</v>
      </c>
      <c r="F55" s="229" t="n">
        <f aca="false">'Annual Summary'!F45</f>
        <v>566072.415105011</v>
      </c>
      <c r="G55" s="229" t="n">
        <f aca="false">'Annual Summary'!G45</f>
        <v>346547.082648898</v>
      </c>
      <c r="H55" s="229" t="n">
        <f aca="false">'Annual Summary'!H45</f>
        <v>72052.0225479718</v>
      </c>
      <c r="I55" s="229" t="n">
        <f aca="false">'Annual Summary'!I45</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828</v>
      </c>
      <c r="B58" s="4"/>
      <c r="C58" s="4"/>
      <c r="D58" s="4"/>
      <c r="E58" s="4"/>
      <c r="F58" s="4"/>
      <c r="G58" s="4"/>
      <c r="H58" s="3"/>
      <c r="I58" s="3"/>
    </row>
    <row r="59" customFormat="false" ht="15" hidden="false" customHeight="true" outlineLevel="0" collapsed="false">
      <c r="A59" s="69" t="s">
        <v>829</v>
      </c>
      <c r="B59" s="3"/>
      <c r="C59" s="3"/>
      <c r="D59" s="3"/>
      <c r="E59" s="3"/>
      <c r="F59" s="3"/>
      <c r="G59" s="3"/>
      <c r="H59" s="3"/>
      <c r="I59" s="3"/>
    </row>
    <row r="60" customFormat="false" ht="15" hidden="false" customHeight="true" outlineLevel="0" collapsed="false">
      <c r="A60" s="253" t="s">
        <v>830</v>
      </c>
      <c r="B60" s="254" t="n">
        <v>0.07</v>
      </c>
      <c r="C60" s="254" t="n">
        <v>0.08</v>
      </c>
      <c r="D60" s="254" t="n">
        <v>0.092</v>
      </c>
      <c r="E60" s="254" t="n">
        <v>0.1</v>
      </c>
      <c r="F60" s="254" t="n">
        <v>0.12</v>
      </c>
      <c r="G60" s="3"/>
      <c r="H60" s="3"/>
      <c r="I60" s="3"/>
    </row>
    <row r="61" customFormat="false" ht="15" hidden="false" customHeight="true" outlineLevel="0" collapsed="false">
      <c r="A61" s="255" t="n">
        <v>0.1</v>
      </c>
      <c r="B61" s="242" t="n">
        <v>21535794</v>
      </c>
      <c r="C61" s="242" t="n">
        <v>21353287</v>
      </c>
      <c r="D61" s="242" t="n">
        <v>21138321</v>
      </c>
      <c r="E61" s="242" t="n">
        <v>20997399</v>
      </c>
      <c r="F61" s="242" t="n">
        <v>20653180</v>
      </c>
      <c r="G61" s="3"/>
      <c r="H61" s="3"/>
      <c r="I61" s="3"/>
    </row>
    <row r="62" customFormat="false" ht="15" hidden="false" customHeight="true" outlineLevel="0" collapsed="false">
      <c r="A62" s="255" t="n">
        <v>0.12</v>
      </c>
      <c r="B62" s="242" t="n">
        <v>25408618</v>
      </c>
      <c r="C62" s="242" t="n">
        <v>25196879</v>
      </c>
      <c r="D62" s="242" t="n">
        <v>24947405</v>
      </c>
      <c r="E62" s="242" t="n">
        <v>24783816</v>
      </c>
      <c r="F62" s="242" t="n">
        <v>24384077</v>
      </c>
      <c r="G62" s="3"/>
      <c r="H62" s="3"/>
      <c r="I62" s="3"/>
    </row>
    <row r="63" customFormat="false" ht="15" hidden="false" customHeight="true" outlineLevel="0" collapsed="false">
      <c r="A63" s="255" t="n">
        <v>0.14</v>
      </c>
      <c r="B63" s="242" t="n">
        <v>29153414</v>
      </c>
      <c r="C63" s="242" t="n">
        <v>28914451</v>
      </c>
      <c r="D63" s="256" t="n">
        <v>28632817</v>
      </c>
      <c r="E63" s="242" t="n">
        <v>28448089</v>
      </c>
      <c r="F63" s="242" t="n">
        <v>27996532</v>
      </c>
      <c r="G63" s="3"/>
      <c r="H63" s="3"/>
      <c r="I63" s="3"/>
    </row>
    <row r="64" customFormat="false" ht="15" hidden="false" customHeight="true" outlineLevel="0" collapsed="false">
      <c r="A64" s="255" t="n">
        <v>0.16</v>
      </c>
      <c r="B64" s="242" t="n">
        <v>32776428</v>
      </c>
      <c r="C64" s="242" t="n">
        <v>32512102</v>
      </c>
      <c r="D64" s="242" t="n">
        <v>32200484</v>
      </c>
      <c r="E64" s="242" t="n">
        <v>31996037</v>
      </c>
      <c r="F64" s="242" t="n">
        <v>31496099</v>
      </c>
      <c r="G64" s="3"/>
      <c r="H64" s="3"/>
      <c r="I64" s="3"/>
    </row>
    <row r="65" customFormat="false" ht="15" hidden="false" customHeight="true" outlineLevel="0" collapsed="false">
      <c r="A65" s="255" t="n">
        <v>0.18</v>
      </c>
      <c r="B65" s="242" t="n">
        <v>36283506</v>
      </c>
      <c r="C65" s="242" t="n">
        <v>35995542</v>
      </c>
      <c r="D65" s="242" t="n">
        <v>35655961</v>
      </c>
      <c r="E65" s="242" t="n">
        <v>35433111</v>
      </c>
      <c r="F65" s="24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831</v>
      </c>
      <c r="B68" s="4"/>
      <c r="C68" s="4"/>
      <c r="D68" s="4"/>
      <c r="E68" s="4"/>
      <c r="F68" s="4"/>
      <c r="G68" s="3"/>
      <c r="H68" s="3"/>
      <c r="I68" s="3"/>
    </row>
    <row r="69" customFormat="false" ht="15" hidden="false" customHeight="true" outlineLevel="0" collapsed="false">
      <c r="A69" s="23" t="s">
        <v>832</v>
      </c>
      <c r="B69" s="23" t="s">
        <v>833</v>
      </c>
      <c r="C69" s="23" t="s">
        <v>834</v>
      </c>
      <c r="D69" s="23" t="s">
        <v>835</v>
      </c>
      <c r="E69" s="23" t="s">
        <v>836</v>
      </c>
      <c r="F69" s="23" t="s">
        <v>837</v>
      </c>
      <c r="G69" s="3"/>
      <c r="H69" s="3"/>
      <c r="I69" s="3"/>
    </row>
    <row r="70" customFormat="false" ht="15" hidden="false" customHeight="true" outlineLevel="0" collapsed="false">
      <c r="A70" s="79" t="s">
        <v>838</v>
      </c>
      <c r="B70" s="246" t="n">
        <f aca="false">'Annual Summary'!B49</f>
        <v>1970326.28</v>
      </c>
      <c r="C70" s="242" t="n">
        <f aca="false">'Annual Summary'!C49</f>
        <v>4127390.89551343</v>
      </c>
      <c r="D70" s="242" t="n">
        <f aca="false">'Annual Summary'!E49</f>
        <v>6095240.40135868</v>
      </c>
      <c r="E70" s="242" t="n">
        <f aca="false">'Annual Summary'!G49</f>
        <v>-4027818.29375621</v>
      </c>
      <c r="F70" s="242" t="n">
        <f aca="false">'Annual Summary'!I49</f>
        <v>-14523763.2801537</v>
      </c>
      <c r="G70" s="3"/>
      <c r="H70" s="3"/>
      <c r="I70" s="3"/>
    </row>
    <row r="71" customFormat="false" ht="15" hidden="false" customHeight="true" outlineLevel="0" collapsed="false">
      <c r="A71" s="79" t="s">
        <v>839</v>
      </c>
      <c r="B71" s="246" t="n">
        <f aca="false">'Annual Summary'!B50</f>
        <v>-183100.46135</v>
      </c>
      <c r="C71" s="242" t="n">
        <f aca="false">'Annual Summary'!C50</f>
        <v>-2964147.82698183</v>
      </c>
      <c r="D71" s="242" t="n">
        <f aca="false">'Annual Summary'!E50</f>
        <v>-10543030.7432466</v>
      </c>
      <c r="E71" s="242" t="n">
        <f aca="false">'Annual Summary'!G50</f>
        <v>-15437509.1967613</v>
      </c>
      <c r="F71" s="242" t="n">
        <f aca="false">'Annual Summary'!I50</f>
        <v>-18846630.7973315</v>
      </c>
      <c r="G71" s="3"/>
      <c r="H71" s="3"/>
      <c r="I71" s="3"/>
    </row>
    <row r="72" customFormat="false" ht="15" hidden="false" customHeight="true" outlineLevel="0" collapsed="false">
      <c r="A72" s="251" t="s">
        <v>840</v>
      </c>
      <c r="B72" s="257" t="n">
        <f aca="false">'Annual Summary'!B52</f>
        <v>1787225.81865</v>
      </c>
      <c r="C72" s="258" t="n">
        <f aca="false">'Annual Summary'!C52</f>
        <v>1163243.0685316</v>
      </c>
      <c r="D72" s="258" t="n">
        <f aca="false">'Annual Summary'!E52</f>
        <v>-4447790.34188791</v>
      </c>
      <c r="E72" s="258" t="n">
        <f aca="false">'Annual Summary'!G52</f>
        <v>-19465327.4905175</v>
      </c>
      <c r="F72" s="258" t="n">
        <f aca="false">'Annual Summary'!I52</f>
        <v>-33370394.0774853</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841</v>
      </c>
      <c r="B75" s="4"/>
      <c r="C75" s="4"/>
      <c r="D75" s="4"/>
      <c r="E75" s="4"/>
      <c r="F75" s="4"/>
      <c r="G75" s="3"/>
      <c r="H75" s="3"/>
      <c r="I75" s="3"/>
    </row>
    <row r="76" customFormat="false" ht="15" hidden="false" customHeight="true" outlineLevel="0" collapsed="false">
      <c r="A76" s="23" t="s">
        <v>589</v>
      </c>
      <c r="B76" s="23" t="s">
        <v>842</v>
      </c>
      <c r="C76" s="23" t="s">
        <v>843</v>
      </c>
      <c r="D76" s="23" t="s">
        <v>844</v>
      </c>
      <c r="E76" s="23" t="s">
        <v>845</v>
      </c>
      <c r="F76" s="23" t="s">
        <v>846</v>
      </c>
      <c r="G76" s="3"/>
      <c r="H76" s="3"/>
      <c r="I76" s="3"/>
    </row>
    <row r="77" customFormat="false" ht="15" hidden="false" customHeight="true" outlineLevel="0" collapsed="false">
      <c r="A77" s="79" t="s">
        <v>16</v>
      </c>
      <c r="B77" s="234" t="n">
        <v>95771</v>
      </c>
      <c r="C77" s="234" t="n">
        <v>60000</v>
      </c>
      <c r="D77" s="234" t="n">
        <v>0</v>
      </c>
      <c r="E77" s="232" t="n">
        <v>155771</v>
      </c>
      <c r="F77" s="69" t="s">
        <v>847</v>
      </c>
      <c r="G77" s="3"/>
      <c r="H77" s="3"/>
      <c r="I77" s="3"/>
    </row>
    <row r="78" customFormat="false" ht="15" hidden="false" customHeight="true" outlineLevel="0" collapsed="false">
      <c r="A78" s="79" t="s">
        <v>17</v>
      </c>
      <c r="B78" s="234" t="n">
        <v>75452</v>
      </c>
      <c r="C78" s="234" t="n">
        <v>60000</v>
      </c>
      <c r="D78" s="234" t="n">
        <v>0</v>
      </c>
      <c r="E78" s="232" t="n">
        <v>135452</v>
      </c>
      <c r="F78" s="69" t="s">
        <v>847</v>
      </c>
      <c r="G78" s="3"/>
      <c r="H78" s="3"/>
      <c r="I78" s="3"/>
    </row>
    <row r="79" customFormat="false" ht="15" hidden="false" customHeight="true" outlineLevel="0" collapsed="false">
      <c r="A79" s="79" t="s">
        <v>12</v>
      </c>
      <c r="B79" s="234" t="n">
        <v>579684</v>
      </c>
      <c r="C79" s="234" t="n">
        <v>150000</v>
      </c>
      <c r="D79" s="234" t="n">
        <v>0</v>
      </c>
      <c r="E79" s="232" t="n">
        <v>729684</v>
      </c>
      <c r="F79" s="69" t="s">
        <v>848</v>
      </c>
      <c r="G79" s="3"/>
      <c r="H79" s="3"/>
      <c r="I79" s="3"/>
    </row>
    <row r="80" customFormat="false" ht="15" hidden="false" customHeight="true" outlineLevel="0" collapsed="false">
      <c r="A80" s="79" t="s">
        <v>18</v>
      </c>
      <c r="B80" s="234" t="n">
        <v>602668</v>
      </c>
      <c r="C80" s="234" t="n">
        <v>150000</v>
      </c>
      <c r="D80" s="234" t="n">
        <v>1450000</v>
      </c>
      <c r="E80" s="232" t="n">
        <v>752668</v>
      </c>
      <c r="F80" s="69" t="s">
        <v>848</v>
      </c>
      <c r="G80" s="3"/>
      <c r="H80" s="3"/>
      <c r="I80" s="3"/>
    </row>
    <row r="81" customFormat="false" ht="15" hidden="false" customHeight="true" outlineLevel="0" collapsed="false">
      <c r="A81" s="79" t="s">
        <v>19</v>
      </c>
      <c r="B81" s="234" t="n">
        <v>563546</v>
      </c>
      <c r="C81" s="234" t="n">
        <v>150000</v>
      </c>
      <c r="D81" s="234" t="n">
        <v>0</v>
      </c>
      <c r="E81" s="232" t="n">
        <v>713546</v>
      </c>
      <c r="F81" s="69" t="s">
        <v>849</v>
      </c>
      <c r="G81" s="3"/>
      <c r="H81" s="3"/>
      <c r="I81" s="3"/>
    </row>
    <row r="82" customFormat="false" ht="15" hidden="false" customHeight="true" outlineLevel="0" collapsed="false">
      <c r="A82" s="230" t="s">
        <v>578</v>
      </c>
      <c r="B82" s="231" t="n">
        <v>1917121</v>
      </c>
      <c r="C82" s="231" t="n">
        <v>570000</v>
      </c>
      <c r="D82" s="231" t="n">
        <v>1450000</v>
      </c>
      <c r="E82" s="231" t="n">
        <v>2487121</v>
      </c>
      <c r="F82" s="23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850</v>
      </c>
      <c r="B85" s="4"/>
      <c r="C85" s="4"/>
      <c r="D85" s="4"/>
      <c r="E85" s="4"/>
      <c r="F85" s="4"/>
      <c r="G85" s="4"/>
      <c r="H85" s="3"/>
      <c r="I85" s="3"/>
    </row>
    <row r="86" customFormat="false" ht="15" hidden="false" customHeight="true" outlineLevel="0" collapsed="false">
      <c r="A86" s="79" t="s">
        <v>851</v>
      </c>
      <c r="B86" s="246" t="n">
        <v>86621402</v>
      </c>
      <c r="C86" s="3"/>
      <c r="D86" s="3"/>
      <c r="E86" s="3"/>
      <c r="F86" s="3"/>
      <c r="G86" s="3"/>
      <c r="H86" s="3"/>
      <c r="I86" s="3"/>
    </row>
    <row r="87" customFormat="false" ht="15" hidden="false" customHeight="true" outlineLevel="0" collapsed="false">
      <c r="A87" s="79" t="s">
        <v>852</v>
      </c>
      <c r="B87" s="259" t="n">
        <v>0.0325</v>
      </c>
      <c r="C87" s="3"/>
      <c r="D87" s="3"/>
      <c r="E87" s="3"/>
      <c r="F87" s="3"/>
      <c r="G87" s="3"/>
      <c r="H87" s="3"/>
      <c r="I87" s="3"/>
    </row>
    <row r="88" customFormat="false" ht="15" hidden="false" customHeight="true" outlineLevel="0" collapsed="false">
      <c r="A88" s="79" t="s">
        <v>853</v>
      </c>
      <c r="B88" s="239" t="n">
        <v>0.015</v>
      </c>
      <c r="C88" s="3"/>
      <c r="D88" s="3"/>
      <c r="E88" s="3"/>
      <c r="F88" s="3"/>
      <c r="G88" s="3"/>
      <c r="H88" s="3"/>
      <c r="I88" s="3"/>
    </row>
    <row r="89" customFormat="false" ht="15" hidden="false" customHeight="true" outlineLevel="0" collapsed="false">
      <c r="A89" s="23"/>
      <c r="B89" s="23" t="s">
        <v>276</v>
      </c>
      <c r="C89" s="23" t="s">
        <v>277</v>
      </c>
      <c r="D89" s="23" t="s">
        <v>278</v>
      </c>
      <c r="E89" s="23" t="s">
        <v>279</v>
      </c>
      <c r="F89" s="23" t="s">
        <v>489</v>
      </c>
      <c r="G89" s="3"/>
      <c r="H89" s="3"/>
      <c r="I89" s="3"/>
    </row>
    <row r="90" customFormat="false" ht="15" hidden="false" customHeight="true" outlineLevel="0" collapsed="false">
      <c r="A90" s="233" t="s">
        <v>854</v>
      </c>
      <c r="B90" s="234" t="n">
        <v>0</v>
      </c>
      <c r="C90" s="234" t="n">
        <v>-956261</v>
      </c>
      <c r="D90" s="234" t="n">
        <v>-1465718</v>
      </c>
      <c r="E90" s="234" t="n">
        <v>-967911</v>
      </c>
      <c r="F90" s="234" t="n">
        <v>-3389890</v>
      </c>
      <c r="G90" s="3"/>
      <c r="H90" s="3"/>
      <c r="I90" s="3"/>
    </row>
    <row r="91" customFormat="false" ht="15" hidden="false" customHeight="true" outlineLevel="0" collapsed="false">
      <c r="A91" s="247" t="s">
        <v>855</v>
      </c>
      <c r="B91" s="229" t="n">
        <v>0</v>
      </c>
      <c r="C91" s="229" t="n">
        <v>-441351</v>
      </c>
      <c r="D91" s="229" t="n">
        <v>-676485</v>
      </c>
      <c r="E91" s="229" t="n">
        <v>-446728</v>
      </c>
      <c r="F91" s="229" t="n">
        <v>-1564564</v>
      </c>
      <c r="G91" s="3"/>
      <c r="H91" s="3"/>
      <c r="I91" s="3"/>
    </row>
    <row r="92" customFormat="false" ht="15" hidden="false" customHeight="true" outlineLevel="0" collapsed="false">
      <c r="A92" s="230" t="s">
        <v>856</v>
      </c>
      <c r="B92" s="231" t="n">
        <v>0</v>
      </c>
      <c r="C92" s="231" t="n">
        <v>514910</v>
      </c>
      <c r="D92" s="231" t="n">
        <v>789233</v>
      </c>
      <c r="E92" s="231" t="n">
        <v>521183</v>
      </c>
      <c r="F92" s="23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857</v>
      </c>
      <c r="B95" s="4"/>
      <c r="C95" s="4"/>
      <c r="D95" s="4"/>
      <c r="E95" s="4"/>
      <c r="F95" s="4"/>
      <c r="G95" s="4"/>
      <c r="H95" s="3"/>
      <c r="I95" s="3"/>
    </row>
    <row r="96" customFormat="false" ht="15" hidden="false" customHeight="true" outlineLevel="0" collapsed="false">
      <c r="A96" s="69" t="s">
        <v>858</v>
      </c>
      <c r="B96" s="3"/>
      <c r="C96" s="3"/>
      <c r="D96" s="3"/>
      <c r="E96" s="3"/>
      <c r="F96" s="3"/>
      <c r="G96" s="3"/>
      <c r="H96" s="3"/>
      <c r="I96" s="3"/>
    </row>
    <row r="97" customFormat="false" ht="15" hidden="false" customHeight="true" outlineLevel="0" collapsed="false">
      <c r="A97" s="23"/>
      <c r="B97" s="23" t="s">
        <v>276</v>
      </c>
      <c r="C97" s="23" t="s">
        <v>277</v>
      </c>
      <c r="D97" s="23" t="s">
        <v>278</v>
      </c>
      <c r="E97" s="23" t="s">
        <v>279</v>
      </c>
      <c r="F97" s="3"/>
      <c r="G97" s="3"/>
      <c r="H97" s="3"/>
      <c r="I97" s="3"/>
    </row>
    <row r="98" customFormat="false" ht="15" hidden="false" customHeight="true" outlineLevel="0" collapsed="false">
      <c r="A98" s="79" t="s">
        <v>859</v>
      </c>
      <c r="B98" s="242" t="n">
        <f aca="false">'Annual Summary'!B47</f>
        <v>73141594.1403182</v>
      </c>
      <c r="C98" s="242" t="n">
        <f aca="false">'Annual Summary'!C47</f>
        <v>83479181.902343</v>
      </c>
      <c r="D98" s="242" t="n">
        <f aca="false">'Annual Summary'!D47</f>
        <v>17213731.86939</v>
      </c>
      <c r="E98" s="242" t="n">
        <f aca="false">'Annual Summary'!E47</f>
        <v>0</v>
      </c>
      <c r="F98" s="3"/>
      <c r="G98" s="3"/>
      <c r="H98" s="3"/>
      <c r="I98" s="3"/>
    </row>
    <row r="99" customFormat="false" ht="15" hidden="false" customHeight="true" outlineLevel="0" collapsed="false">
      <c r="A99" s="233" t="s">
        <v>860</v>
      </c>
      <c r="B99" s="234" t="n">
        <f aca="false">B98*0.025</f>
        <v>1828539.85350796</v>
      </c>
      <c r="C99" s="234" t="n">
        <f aca="false">C98*0.025</f>
        <v>2086979.54755857</v>
      </c>
      <c r="D99" s="234" t="n">
        <f aca="false">D98*0.025</f>
        <v>430343.29673475</v>
      </c>
      <c r="E99" s="234" t="n">
        <f aca="false">E98*0.025</f>
        <v>0</v>
      </c>
      <c r="F99" s="3"/>
      <c r="G99" s="3"/>
      <c r="H99" s="3"/>
      <c r="I99" s="3"/>
    </row>
    <row r="100" customFormat="false" ht="15" hidden="false" customHeight="true" outlineLevel="0" collapsed="false">
      <c r="A100" s="79" t="s">
        <v>861</v>
      </c>
      <c r="B100" s="242" t="n">
        <f aca="false">'Annual Summary'!B52</f>
        <v>1787225.81865</v>
      </c>
      <c r="C100" s="242" t="n">
        <f aca="false">'Annual Summary'!C52</f>
        <v>1163243.0685316</v>
      </c>
      <c r="D100" s="242" t="n">
        <f aca="false">'Annual Summary'!D52</f>
        <v>-689191.488165925</v>
      </c>
      <c r="E100" s="242" t="n">
        <f aca="false">'Annual Summary'!E52</f>
        <v>-4447790.34188791</v>
      </c>
      <c r="F100" s="3"/>
      <c r="G100" s="3"/>
      <c r="H100" s="3"/>
      <c r="I100" s="3"/>
    </row>
    <row r="101" customFormat="false" ht="15" hidden="false" customHeight="true" outlineLevel="0" collapsed="false">
      <c r="A101" s="79" t="s">
        <v>862</v>
      </c>
      <c r="B101" s="242" t="n">
        <f aca="false">'Annual Summary'!B22*0.05</f>
        <v>99596.0394375001</v>
      </c>
      <c r="C101" s="242" t="n">
        <f aca="false">'Annual Summary'!C22*0.05</f>
        <v>192967.379944825</v>
      </c>
      <c r="D101" s="242" t="n">
        <f aca="false">'Annual Summary'!D22*0.05</f>
        <v>122787.265368085</v>
      </c>
      <c r="E101" s="242" t="n">
        <f aca="false">'Annual Summary'!E22*0.05</f>
        <v>-88860.0636635653</v>
      </c>
      <c r="F101" s="3"/>
      <c r="G101" s="3"/>
      <c r="H101" s="3"/>
      <c r="I101" s="3"/>
    </row>
    <row r="102" customFormat="false" ht="15" hidden="false" customHeight="true" outlineLevel="0" collapsed="false">
      <c r="A102" s="79" t="s">
        <v>863</v>
      </c>
      <c r="B102" s="242" t="n">
        <f aca="false">B100+B101</f>
        <v>1886821.8580875</v>
      </c>
      <c r="C102" s="242" t="n">
        <f aca="false">C100+C101</f>
        <v>1356210.44847643</v>
      </c>
      <c r="D102" s="242" t="n">
        <f aca="false">D100+D101</f>
        <v>-566404.22279784</v>
      </c>
      <c r="E102" s="242" t="n">
        <f aca="false">E100+E101</f>
        <v>-4536650.40555148</v>
      </c>
      <c r="F102" s="3"/>
      <c r="G102" s="3"/>
      <c r="H102" s="3"/>
      <c r="I102" s="3"/>
    </row>
    <row r="103" customFormat="false" ht="15" hidden="false" customHeight="true" outlineLevel="0" collapsed="false">
      <c r="A103" s="230" t="s">
        <v>864</v>
      </c>
      <c r="B103" s="231" t="n">
        <f aca="false">B102-B99</f>
        <v>58282.0045795469</v>
      </c>
      <c r="C103" s="231" t="n">
        <f aca="false">C102-C99</f>
        <v>-730769.099082148</v>
      </c>
      <c r="D103" s="231" t="n">
        <f aca="false">D102-D99</f>
        <v>-996747.51953259</v>
      </c>
      <c r="E103" s="231" t="n">
        <f aca="false">E102-E99</f>
        <v>-4536650.40555148</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865</v>
      </c>
      <c r="B106" s="4"/>
      <c r="C106" s="4"/>
      <c r="D106" s="4"/>
      <c r="E106" s="4"/>
      <c r="F106" s="4"/>
      <c r="G106" s="4"/>
      <c r="H106" s="3"/>
      <c r="I106" s="3"/>
    </row>
    <row r="107" customFormat="false" ht="15" hidden="false" customHeight="true" outlineLevel="0" collapsed="false">
      <c r="A107" s="79" t="s">
        <v>866</v>
      </c>
      <c r="B107" s="246" t="n">
        <v>15179956</v>
      </c>
      <c r="C107" s="3"/>
      <c r="D107" s="3"/>
      <c r="E107" s="3"/>
      <c r="F107" s="3"/>
      <c r="G107" s="3"/>
      <c r="H107" s="3"/>
      <c r="I107" s="3"/>
    </row>
    <row r="108" customFormat="false" ht="15" hidden="false" customHeight="true" outlineLevel="0" collapsed="false">
      <c r="A108" s="79" t="s">
        <v>867</v>
      </c>
      <c r="B108" s="259" t="n">
        <v>0.1136</v>
      </c>
      <c r="C108" s="3"/>
      <c r="D108" s="3"/>
      <c r="E108" s="3"/>
      <c r="F108" s="3"/>
      <c r="G108" s="3"/>
      <c r="H108" s="3"/>
      <c r="I108" s="3"/>
    </row>
    <row r="109" customFormat="false" ht="15" hidden="false" customHeight="true" outlineLevel="0" collapsed="false">
      <c r="A109" s="79" t="s">
        <v>868</v>
      </c>
      <c r="B109" s="232" t="n">
        <v>1724443</v>
      </c>
      <c r="C109" s="3"/>
      <c r="D109" s="3"/>
      <c r="E109" s="3"/>
      <c r="F109" s="3"/>
      <c r="G109" s="3"/>
      <c r="H109" s="3"/>
      <c r="I109" s="3"/>
    </row>
    <row r="110" customFormat="false" ht="15" hidden="false" customHeight="true" outlineLevel="0" collapsed="false">
      <c r="A110" s="79" t="s">
        <v>869</v>
      </c>
      <c r="B110" s="260" t="n">
        <v>3</v>
      </c>
      <c r="C110" s="3"/>
      <c r="D110" s="3"/>
      <c r="E110" s="3"/>
      <c r="F110" s="3"/>
      <c r="G110" s="3"/>
      <c r="H110" s="3"/>
      <c r="I110" s="3"/>
    </row>
    <row r="111" customFormat="false" ht="15" hidden="false" customHeight="true" outlineLevel="0" collapsed="false">
      <c r="A111" s="230" t="s">
        <v>870</v>
      </c>
      <c r="B111" s="231" t="n">
        <v>45539868</v>
      </c>
      <c r="C111" s="230"/>
      <c r="D111" s="230"/>
      <c r="E111" s="230"/>
      <c r="F111" s="23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871</v>
      </c>
      <c r="B113" s="3"/>
      <c r="C113" s="3"/>
      <c r="D113" s="3"/>
      <c r="E113" s="3"/>
      <c r="F113" s="3"/>
      <c r="G113" s="3"/>
      <c r="H113" s="3"/>
      <c r="I113" s="3"/>
    </row>
    <row r="114" customFormat="false" ht="15" hidden="false" customHeight="true" outlineLevel="0" collapsed="false">
      <c r="A114" s="23"/>
      <c r="B114" s="23" t="s">
        <v>277</v>
      </c>
      <c r="C114" s="23" t="s">
        <v>278</v>
      </c>
      <c r="D114" s="23" t="s">
        <v>279</v>
      </c>
      <c r="E114" s="23" t="s">
        <v>280</v>
      </c>
      <c r="F114" s="23" t="s">
        <v>489</v>
      </c>
      <c r="G114" s="3"/>
      <c r="H114" s="3"/>
      <c r="I114" s="3"/>
    </row>
    <row r="115" customFormat="false" ht="15" hidden="false" customHeight="true" outlineLevel="0" collapsed="false">
      <c r="A115" s="79" t="s">
        <v>872</v>
      </c>
      <c r="B115" s="242" t="n">
        <v>0</v>
      </c>
      <c r="C115" s="242" t="n">
        <v>1896887</v>
      </c>
      <c r="D115" s="242" t="n">
        <v>1379554</v>
      </c>
      <c r="E115" s="242" t="n">
        <v>172444</v>
      </c>
      <c r="F115" s="232" t="n">
        <v>3448885</v>
      </c>
      <c r="G115" s="3"/>
      <c r="H115" s="3"/>
      <c r="I115" s="3"/>
    </row>
    <row r="116" customFormat="false" ht="15" hidden="false" customHeight="true" outlineLevel="0" collapsed="false">
      <c r="A116" s="79" t="s">
        <v>873</v>
      </c>
      <c r="B116" s="242" t="n">
        <v>0</v>
      </c>
      <c r="C116" s="242" t="n">
        <v>603555</v>
      </c>
      <c r="D116" s="242" t="n">
        <v>948444</v>
      </c>
      <c r="E116" s="242" t="n">
        <v>172444</v>
      </c>
      <c r="F116" s="232" t="n">
        <v>1724443</v>
      </c>
      <c r="G116" s="3"/>
      <c r="H116" s="3"/>
      <c r="I116" s="3"/>
    </row>
    <row r="117" customFormat="false" ht="15" hidden="false" customHeight="true" outlineLevel="0" collapsed="false">
      <c r="A117" s="230" t="s">
        <v>874</v>
      </c>
      <c r="B117" s="231" t="n">
        <v>0</v>
      </c>
      <c r="C117" s="231" t="n">
        <v>2500442</v>
      </c>
      <c r="D117" s="231" t="n">
        <v>2327998</v>
      </c>
      <c r="E117" s="231" t="n">
        <v>344888</v>
      </c>
      <c r="F117" s="23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875</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876</v>
      </c>
      <c r="B122" s="4"/>
      <c r="C122" s="4"/>
      <c r="D122" s="4"/>
      <c r="E122" s="4"/>
      <c r="F122" s="4"/>
      <c r="G122" s="4"/>
      <c r="H122" s="3"/>
      <c r="I122" s="3"/>
    </row>
    <row r="123" customFormat="false" ht="15" hidden="false" customHeight="true" outlineLevel="0" collapsed="false">
      <c r="A123" s="69" t="s">
        <v>877</v>
      </c>
      <c r="B123" s="3"/>
      <c r="C123" s="3"/>
      <c r="D123" s="3"/>
      <c r="E123" s="3"/>
      <c r="F123" s="3"/>
      <c r="G123" s="3"/>
      <c r="H123" s="3"/>
      <c r="I123" s="3"/>
    </row>
    <row r="124" customFormat="false" ht="15" hidden="false" customHeight="true" outlineLevel="0" collapsed="false">
      <c r="A124" s="23"/>
      <c r="B124" s="23" t="s">
        <v>878</v>
      </c>
      <c r="C124" s="23" t="s">
        <v>879</v>
      </c>
      <c r="D124" s="23" t="s">
        <v>780</v>
      </c>
      <c r="E124" s="3"/>
      <c r="F124" s="3"/>
      <c r="G124" s="3"/>
      <c r="H124" s="3"/>
      <c r="I124" s="3"/>
    </row>
    <row r="125" customFormat="false" ht="15" hidden="false" customHeight="true" outlineLevel="0" collapsed="false">
      <c r="A125" s="79" t="s">
        <v>880</v>
      </c>
      <c r="B125" s="246" t="n">
        <v>1450000</v>
      </c>
      <c r="C125" s="261" t="s">
        <v>881</v>
      </c>
      <c r="D125" s="69" t="s">
        <v>882</v>
      </c>
      <c r="E125" s="3"/>
      <c r="F125" s="3"/>
      <c r="G125" s="3"/>
      <c r="H125" s="3"/>
      <c r="I125" s="3"/>
    </row>
    <row r="126" customFormat="false" ht="15" hidden="false" customHeight="true" outlineLevel="0" collapsed="false">
      <c r="A126" s="79" t="s">
        <v>883</v>
      </c>
      <c r="B126" s="234" t="n">
        <v>-1450000</v>
      </c>
      <c r="C126" s="261" t="s">
        <v>884</v>
      </c>
      <c r="D126" s="69" t="s">
        <v>885</v>
      </c>
      <c r="E126" s="3"/>
      <c r="F126" s="3"/>
      <c r="G126" s="3"/>
      <c r="H126" s="3"/>
      <c r="I126" s="3"/>
    </row>
    <row r="127" customFormat="false" ht="15" hidden="false" customHeight="true" outlineLevel="0" collapsed="false">
      <c r="A127" s="79" t="s">
        <v>886</v>
      </c>
      <c r="B127" s="3"/>
      <c r="C127" s="261" t="s">
        <v>887</v>
      </c>
      <c r="D127" s="69" t="s">
        <v>888</v>
      </c>
      <c r="E127" s="3"/>
      <c r="F127" s="3"/>
      <c r="G127" s="3"/>
      <c r="H127" s="3"/>
      <c r="I127" s="3"/>
    </row>
    <row r="128" customFormat="false" ht="15" hidden="false" customHeight="true" outlineLevel="0" collapsed="false">
      <c r="A128" s="230" t="s">
        <v>889</v>
      </c>
      <c r="B128" s="231" t="n">
        <v>0</v>
      </c>
      <c r="C128" s="230" t="s">
        <v>890</v>
      </c>
      <c r="D128" s="230" t="s">
        <v>891</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892</v>
      </c>
      <c r="B130" s="232" t="n">
        <v>362885</v>
      </c>
      <c r="C130" s="261" t="s">
        <v>893</v>
      </c>
      <c r="D130" s="69" t="s">
        <v>894</v>
      </c>
      <c r="E130" s="3"/>
      <c r="F130" s="3"/>
      <c r="G130" s="3"/>
      <c r="H130" s="3"/>
      <c r="I130" s="3"/>
    </row>
    <row r="131" customFormat="false" ht="15" hidden="false" customHeight="true" outlineLevel="0" collapsed="false">
      <c r="A131" s="230" t="s">
        <v>895</v>
      </c>
      <c r="B131" s="231" t="n">
        <v>1812885</v>
      </c>
      <c r="C131" s="230" t="s">
        <v>896</v>
      </c>
      <c r="D131" s="230" t="s">
        <v>897</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593</v>
      </c>
      <c r="B1" s="49" t="s">
        <v>898</v>
      </c>
      <c r="C1" s="49" t="s">
        <v>899</v>
      </c>
      <c r="D1" s="49" t="s">
        <v>900</v>
      </c>
      <c r="E1" s="49" t="s">
        <v>901</v>
      </c>
      <c r="F1" s="49" t="s">
        <v>902</v>
      </c>
      <c r="G1" s="49" t="s">
        <v>903</v>
      </c>
      <c r="H1" s="49" t="s">
        <v>904</v>
      </c>
      <c r="I1" s="49" t="s">
        <v>905</v>
      </c>
      <c r="J1" s="49" t="s">
        <v>906</v>
      </c>
      <c r="K1" s="49" t="s">
        <v>907</v>
      </c>
      <c r="L1" s="49" t="s">
        <v>908</v>
      </c>
      <c r="M1" s="49" t="s">
        <v>909</v>
      </c>
      <c r="N1" s="49" t="s">
        <v>910</v>
      </c>
      <c r="O1" s="49" t="s">
        <v>911</v>
      </c>
      <c r="P1" s="49" t="s">
        <v>912</v>
      </c>
      <c r="Q1" s="49" t="s">
        <v>913</v>
      </c>
      <c r="R1" s="49" t="s">
        <v>914</v>
      </c>
      <c r="S1" s="49" t="s">
        <v>915</v>
      </c>
      <c r="T1" s="49" t="s">
        <v>916</v>
      </c>
      <c r="U1" s="49" t="s">
        <v>917</v>
      </c>
      <c r="V1" s="49" t="s">
        <v>918</v>
      </c>
      <c r="W1" s="49" t="s">
        <v>919</v>
      </c>
      <c r="X1" s="49" t="s">
        <v>920</v>
      </c>
      <c r="Y1" s="49" t="s">
        <v>921</v>
      </c>
      <c r="Z1" s="49" t="s">
        <v>922</v>
      </c>
      <c r="AA1" s="49" t="s">
        <v>923</v>
      </c>
      <c r="AB1" s="49" t="s">
        <v>924</v>
      </c>
      <c r="AC1" s="49" t="s">
        <v>925</v>
      </c>
      <c r="AD1" s="49" t="s">
        <v>926</v>
      </c>
      <c r="AE1" s="49" t="s">
        <v>927</v>
      </c>
      <c r="AF1" s="49" t="s">
        <v>928</v>
      </c>
      <c r="AG1" s="49" t="s">
        <v>929</v>
      </c>
      <c r="AH1" s="49" t="s">
        <v>930</v>
      </c>
      <c r="AI1" s="49" t="s">
        <v>931</v>
      </c>
      <c r="AJ1" s="49" t="s">
        <v>932</v>
      </c>
      <c r="AK1" s="49" t="s">
        <v>933</v>
      </c>
      <c r="AL1" s="49" t="s">
        <v>934</v>
      </c>
      <c r="AM1" s="49" t="s">
        <v>935</v>
      </c>
      <c r="AN1" s="49" t="s">
        <v>936</v>
      </c>
      <c r="AO1" s="49" t="s">
        <v>937</v>
      </c>
    </row>
    <row r="2" customFormat="false" ht="15" hidden="false" customHeight="true" outlineLevel="0" collapsed="false">
      <c r="A2" s="187" t="s">
        <v>938</v>
      </c>
      <c r="B2" s="262" t="n">
        <v>0.016101</v>
      </c>
      <c r="C2" s="262" t="n">
        <v>0.018518</v>
      </c>
      <c r="D2" s="262" t="n">
        <v>0.021087</v>
      </c>
      <c r="E2" s="262" t="n">
        <v>0.023773</v>
      </c>
      <c r="F2" s="262" t="n">
        <v>0.026535</v>
      </c>
      <c r="G2" s="262" t="n">
        <v>0.029323</v>
      </c>
      <c r="H2" s="262" t="n">
        <v>0.032082</v>
      </c>
      <c r="I2" s="262" t="n">
        <v>0.034752</v>
      </c>
      <c r="J2" s="262" t="n">
        <v>0.037269</v>
      </c>
      <c r="K2" s="262" t="n">
        <v>0.039572</v>
      </c>
      <c r="L2" s="262" t="n">
        <v>0.041599</v>
      </c>
      <c r="M2" s="262" t="n">
        <v>0.043295</v>
      </c>
      <c r="N2" s="262" t="n">
        <v>0.044613</v>
      </c>
      <c r="O2" s="262" t="n">
        <v>0.045513</v>
      </c>
      <c r="P2" s="262" t="n">
        <v>0.04597</v>
      </c>
      <c r="Q2" s="262" t="n">
        <v>0.04597</v>
      </c>
      <c r="R2" s="262" t="n">
        <v>0.045513</v>
      </c>
      <c r="S2" s="262" t="n">
        <v>0.044613</v>
      </c>
      <c r="T2" s="262" t="n">
        <v>0.043295</v>
      </c>
      <c r="U2" s="262" t="n">
        <v>0.041599</v>
      </c>
      <c r="V2" s="262" t="n">
        <v>0.039572</v>
      </c>
      <c r="W2" s="262" t="n">
        <v>0.037269</v>
      </c>
      <c r="X2" s="262" t="n">
        <v>0.034752</v>
      </c>
      <c r="Y2" s="262" t="n">
        <v>0.032082</v>
      </c>
      <c r="Z2" s="262" t="n">
        <v>0.029323</v>
      </c>
      <c r="AA2" s="262" t="n">
        <v>0.026535</v>
      </c>
      <c r="AB2" s="262" t="n">
        <v>0.023773</v>
      </c>
      <c r="AC2" s="262" t="n">
        <v>0.021087</v>
      </c>
      <c r="AD2" s="262" t="n">
        <v>0.018518</v>
      </c>
      <c r="AE2" s="262" t="n">
        <v>0.016101</v>
      </c>
    </row>
    <row r="3" customFormat="false" ht="15" hidden="false" customHeight="true" outlineLevel="0" collapsed="false">
      <c r="A3" s="187" t="s">
        <v>939</v>
      </c>
      <c r="B3" s="262" t="n">
        <v>0.020497</v>
      </c>
      <c r="C3" s="262" t="n">
        <v>0.024336</v>
      </c>
      <c r="D3" s="262" t="n">
        <v>0.028445</v>
      </c>
      <c r="E3" s="262" t="n">
        <v>0.032735</v>
      </c>
      <c r="F3" s="262" t="n">
        <v>0.037087</v>
      </c>
      <c r="G3" s="262" t="n">
        <v>0.041368</v>
      </c>
      <c r="H3" s="262" t="n">
        <v>0.045428</v>
      </c>
      <c r="I3" s="262" t="n">
        <v>0.049114</v>
      </c>
      <c r="J3" s="262" t="n">
        <v>0.052278</v>
      </c>
      <c r="K3" s="262" t="n">
        <v>0.054783</v>
      </c>
      <c r="L3" s="262" t="n">
        <v>0.05652</v>
      </c>
      <c r="M3" s="262" t="n">
        <v>0.057409</v>
      </c>
      <c r="N3" s="262" t="n">
        <v>0.057409</v>
      </c>
      <c r="O3" s="262" t="n">
        <v>0.05652</v>
      </c>
      <c r="P3" s="262" t="n">
        <v>0.054783</v>
      </c>
      <c r="Q3" s="262" t="n">
        <v>0.052278</v>
      </c>
      <c r="R3" s="262" t="n">
        <v>0.049114</v>
      </c>
      <c r="S3" s="262" t="n">
        <v>0.045428</v>
      </c>
      <c r="T3" s="262" t="n">
        <v>0.041368</v>
      </c>
      <c r="U3" s="262" t="n">
        <v>0.037087</v>
      </c>
      <c r="V3" s="262" t="n">
        <v>0.032735</v>
      </c>
      <c r="W3" s="262" t="n">
        <v>0.028445</v>
      </c>
      <c r="X3" s="262" t="n">
        <v>0.024336</v>
      </c>
      <c r="Y3" s="262" t="n">
        <v>0.020497</v>
      </c>
    </row>
    <row r="4" customFormat="false" ht="15" hidden="false" customHeight="true" outlineLevel="0" collapsed="false">
      <c r="A4" s="187" t="s">
        <v>940</v>
      </c>
      <c r="B4" s="262" t="n">
        <v>0.026517</v>
      </c>
      <c r="C4" s="262" t="n">
        <v>0.032761</v>
      </c>
      <c r="D4" s="262" t="n">
        <v>0.039482</v>
      </c>
      <c r="E4" s="262" t="n">
        <v>0.046412</v>
      </c>
      <c r="F4" s="262" t="n">
        <v>0.053218</v>
      </c>
      <c r="G4" s="262" t="n">
        <v>0.059522</v>
      </c>
      <c r="H4" s="262" t="n">
        <v>0.064937</v>
      </c>
      <c r="I4" s="262" t="n">
        <v>0.069104</v>
      </c>
      <c r="J4" s="262" t="n">
        <v>0.071732</v>
      </c>
      <c r="K4" s="262" t="n">
        <v>0.07263</v>
      </c>
      <c r="L4" s="262" t="n">
        <v>0.071732</v>
      </c>
      <c r="M4" s="262" t="n">
        <v>0.069104</v>
      </c>
      <c r="N4" s="262" t="n">
        <v>0.064937</v>
      </c>
      <c r="O4" s="262" t="n">
        <v>0.059522</v>
      </c>
      <c r="P4" s="262" t="n">
        <v>0.053218</v>
      </c>
      <c r="Q4" s="262" t="n">
        <v>0.046412</v>
      </c>
      <c r="R4" s="262" t="n">
        <v>0.039482</v>
      </c>
      <c r="S4" s="262" t="n">
        <v>0.032761</v>
      </c>
      <c r="T4" s="262" t="n">
        <v>0.026517</v>
      </c>
    </row>
    <row r="5" customFormat="false" ht="15" hidden="false" customHeight="true" outlineLevel="0" collapsed="false">
      <c r="A5" s="263" t="s">
        <v>941</v>
      </c>
    </row>
    <row r="6" customFormat="false" ht="15" hidden="false" customHeight="true" outlineLevel="0" collapsed="false">
      <c r="A6" s="187" t="s">
        <v>7</v>
      </c>
      <c r="B6" s="262" t="n">
        <v>0.176029532991649</v>
      </c>
      <c r="C6" s="262" t="n">
        <v>0.162818536970001</v>
      </c>
      <c r="D6" s="262" t="n">
        <v>0.148267087201176</v>
      </c>
      <c r="E6" s="262" t="n">
        <v>0.1329235511272</v>
      </c>
      <c r="F6" s="262" t="n">
        <v>0.117325543887316</v>
      </c>
      <c r="G6" s="262" t="n">
        <v>0.101949750904986</v>
      </c>
      <c r="H6" s="262" t="n">
        <v>0.0872226801906742</v>
      </c>
      <c r="I6" s="262" t="n">
        <v>0.073463316726999</v>
      </c>
    </row>
    <row r="7" customFormat="false" ht="15" hidden="false" customHeight="true" outlineLevel="0" collapsed="false">
      <c r="A7" s="187" t="s">
        <v>8</v>
      </c>
      <c r="B7" s="262" t="n">
        <v>0.0725086339616361</v>
      </c>
      <c r="C7" s="262" t="n">
        <v>0.0759830233429035</v>
      </c>
      <c r="D7" s="262" t="n">
        <v>0.0783922107102734</v>
      </c>
      <c r="E7" s="262" t="n">
        <v>0.0796252375206314</v>
      </c>
      <c r="F7" s="262" t="n">
        <v>0.0796252375206314</v>
      </c>
      <c r="G7" s="262" t="n">
        <v>0.0783922107102734</v>
      </c>
      <c r="H7" s="262" t="n">
        <v>0.0759830233429035</v>
      </c>
      <c r="I7" s="262" t="n">
        <v>0.0725086339616361</v>
      </c>
      <c r="J7" s="262" t="n">
        <v>0.0681202235814644</v>
      </c>
      <c r="K7" s="262" t="n">
        <v>0.0630078087074717</v>
      </c>
      <c r="L7" s="262" t="n">
        <v>0.0573766626444195</v>
      </c>
      <c r="M7" s="262" t="n">
        <v>0.051438993606014</v>
      </c>
      <c r="N7" s="262" t="n">
        <v>0.0454028488605945</v>
      </c>
      <c r="O7" s="262" t="n">
        <v>0.0394526969860886</v>
      </c>
      <c r="P7" s="262" t="n">
        <v>0.0337535888153789</v>
      </c>
      <c r="Q7" s="262" t="n">
        <v>0.02842896572768</v>
      </c>
    </row>
    <row r="8" customFormat="false" ht="15" hidden="false" customHeight="true" outlineLevel="0" collapsed="false">
      <c r="A8" s="187" t="s">
        <v>9</v>
      </c>
      <c r="B8" s="262" t="n">
        <v>0.0622557988273664</v>
      </c>
      <c r="C8" s="262" t="n">
        <v>0.0696303817844058</v>
      </c>
      <c r="D8" s="262" t="n">
        <v>0.0759649894481697</v>
      </c>
      <c r="E8" s="262" t="n">
        <v>0.0808396542930274</v>
      </c>
      <c r="F8" s="262" t="n">
        <v>0.0839139569597627</v>
      </c>
      <c r="G8" s="262" t="n">
        <v>0.0849644606868282</v>
      </c>
      <c r="H8" s="262" t="n">
        <v>0.0839139569597627</v>
      </c>
      <c r="I8" s="262" t="n">
        <v>0.0808396542930274</v>
      </c>
      <c r="J8" s="262" t="n">
        <v>0.0759649894481697</v>
      </c>
      <c r="K8" s="262" t="n">
        <v>0.0696303817844058</v>
      </c>
      <c r="L8" s="262" t="n">
        <v>0.0622557988273664</v>
      </c>
      <c r="M8" s="262" t="n">
        <v>0.0542939632300299</v>
      </c>
      <c r="N8" s="262" t="n">
        <v>0.0461870692115841</v>
      </c>
      <c r="O8" s="262" t="n">
        <v>0.038324668822266</v>
      </c>
      <c r="P8" s="262" t="n">
        <v>0.031020275423828</v>
      </c>
    </row>
    <row r="9" customFormat="false" ht="15" hidden="false" customHeight="true" outlineLevel="0" collapsed="false">
      <c r="A9" s="187" t="s">
        <v>10</v>
      </c>
      <c r="B9" s="262" t="n">
        <v>0.0622557988273664</v>
      </c>
      <c r="C9" s="262" t="n">
        <v>0.0696303817844058</v>
      </c>
      <c r="D9" s="262" t="n">
        <v>0.0759649894481697</v>
      </c>
      <c r="E9" s="262" t="n">
        <v>0.0808396542930274</v>
      </c>
      <c r="F9" s="262" t="n">
        <v>0.0839139569597627</v>
      </c>
      <c r="G9" s="262" t="n">
        <v>0.0849644606868282</v>
      </c>
      <c r="H9" s="262" t="n">
        <v>0.0839139569597627</v>
      </c>
      <c r="I9" s="262" t="n">
        <v>0.0808396542930274</v>
      </c>
      <c r="J9" s="262" t="n">
        <v>0.0759649894481697</v>
      </c>
      <c r="K9" s="262" t="n">
        <v>0.0696303817844058</v>
      </c>
      <c r="L9" s="262" t="n">
        <v>0.0622557988273664</v>
      </c>
      <c r="M9" s="262" t="n">
        <v>0.0542939632300299</v>
      </c>
      <c r="N9" s="262" t="n">
        <v>0.0461870692115841</v>
      </c>
      <c r="O9" s="262" t="n">
        <v>0.038324668822266</v>
      </c>
      <c r="P9" s="262" t="n">
        <v>0.031020275423828</v>
      </c>
    </row>
    <row r="10" customFormat="false" ht="13.5" hidden="false" customHeight="true" outlineLevel="0" collapsed="false">
      <c r="A10" s="187" t="s">
        <v>942</v>
      </c>
      <c r="B10" s="262" t="n">
        <v>0.0282164578932967</v>
      </c>
      <c r="C10" s="262" t="n">
        <v>0.0352262004025838</v>
      </c>
      <c r="D10" s="262" t="n">
        <v>0.0427568950243905</v>
      </c>
      <c r="E10" s="262" t="n">
        <v>0.0504646370129604</v>
      </c>
      <c r="F10" s="262" t="n">
        <v>0.0579268208524386</v>
      </c>
      <c r="G10" s="262" t="n">
        <v>0.0646743253479264</v>
      </c>
      <c r="H10" s="262" t="n">
        <v>0.0702405254110397</v>
      </c>
      <c r="I10" s="262" t="n">
        <v>0.0742125943902679</v>
      </c>
      <c r="J10" s="262" t="n">
        <v>0.0762815436650961</v>
      </c>
      <c r="K10" s="262" t="n">
        <v>0.0762815436650961</v>
      </c>
      <c r="L10" s="262" t="n">
        <v>0.0742125943902679</v>
      </c>
      <c r="M10" s="262" t="n">
        <v>0.0702405254110397</v>
      </c>
      <c r="N10" s="262" t="n">
        <v>0.0646743253479264</v>
      </c>
      <c r="O10" s="262" t="n">
        <v>0.0579268208524386</v>
      </c>
      <c r="P10" s="262" t="n">
        <v>0.0504646370129604</v>
      </c>
      <c r="Q10" s="262" t="n">
        <v>0.0427568950243905</v>
      </c>
      <c r="R10" s="262" t="n">
        <v>0.0352262004025838</v>
      </c>
      <c r="S10" s="262" t="n">
        <v>0.0282164578932967</v>
      </c>
    </row>
    <row r="11" customFormat="false" ht="13.5" hidden="false" customHeight="true" outlineLevel="0" collapsed="false">
      <c r="A11" s="187" t="s">
        <v>943</v>
      </c>
      <c r="B11" s="262" t="n">
        <v>0.025222436982787</v>
      </c>
      <c r="C11" s="262" t="n">
        <v>0.0307161666385355</v>
      </c>
      <c r="D11" s="262" t="n">
        <v>0.0367553741782341</v>
      </c>
      <c r="E11" s="262" t="n">
        <v>0.0429926173697717</v>
      </c>
      <c r="F11" s="262" t="n">
        <v>0.0491633017489297</v>
      </c>
      <c r="G11" s="262" t="n">
        <v>0.0549671636058411</v>
      </c>
      <c r="H11" s="262" t="n">
        <v>0.0600928104259969</v>
      </c>
      <c r="I11" s="262" t="n">
        <v>0.0642439972345396</v>
      </c>
      <c r="J11" s="262" t="n">
        <v>0.0671676626233437</v>
      </c>
      <c r="K11" s="262" t="n">
        <v>0.0686784691920207</v>
      </c>
      <c r="L11" s="262" t="n">
        <v>0.0686784691920207</v>
      </c>
      <c r="M11" s="262" t="n">
        <v>0.0671676626233437</v>
      </c>
      <c r="N11" s="262" t="n">
        <v>0.0642439972345396</v>
      </c>
      <c r="O11" s="262" t="n">
        <v>0.0600928104259969</v>
      </c>
      <c r="P11" s="262" t="n">
        <v>0.0549671636058411</v>
      </c>
      <c r="Q11" s="262" t="n">
        <v>0.0491633017489297</v>
      </c>
      <c r="R11" s="262" t="n">
        <v>0.0429926173697717</v>
      </c>
      <c r="S11" s="262" t="n">
        <v>0.0367553741782341</v>
      </c>
      <c r="T11" s="262"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30468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64" t="s">
        <v>944</v>
      </c>
      <c r="B1" s="264"/>
      <c r="C1" s="264"/>
      <c r="D1" s="264"/>
    </row>
    <row r="3" customFormat="false" ht="15" hidden="false" customHeight="true" outlineLevel="0" collapsed="false">
      <c r="A3" s="23" t="s">
        <v>945</v>
      </c>
      <c r="B3" s="23"/>
      <c r="C3" s="23"/>
      <c r="D3" s="23"/>
    </row>
    <row r="4" customFormat="false" ht="15" hidden="false" customHeight="true" outlineLevel="0" collapsed="false">
      <c r="A4" s="187" t="s">
        <v>946</v>
      </c>
      <c r="B4" s="262" t="n">
        <v>0.06</v>
      </c>
    </row>
    <row r="5" customFormat="false" ht="15" hidden="false" customHeight="true" outlineLevel="0" collapsed="false">
      <c r="A5" s="187" t="s">
        <v>784</v>
      </c>
      <c r="B5" s="262" t="n">
        <v>0.06</v>
      </c>
    </row>
    <row r="6" customFormat="false" ht="15" hidden="false" customHeight="true" outlineLevel="0" collapsed="false">
      <c r="A6" s="187" t="s">
        <v>947</v>
      </c>
      <c r="B6" s="262" t="n">
        <v>0.02</v>
      </c>
    </row>
    <row r="7" customFormat="false" ht="15" hidden="false" customHeight="true" outlineLevel="0" collapsed="false">
      <c r="A7" s="187" t="s">
        <v>948</v>
      </c>
      <c r="B7" s="190" t="n">
        <f aca="false">B4+B5+B6</f>
        <v>0.14</v>
      </c>
    </row>
    <row r="8" customFormat="false" ht="15" hidden="false" customHeight="true" outlineLevel="0" collapsed="false">
      <c r="A8" s="187"/>
      <c r="B8" s="262"/>
    </row>
    <row r="9" customFormat="false" ht="15" hidden="false" customHeight="true" outlineLevel="0" collapsed="false">
      <c r="A9" s="187" t="s">
        <v>949</v>
      </c>
      <c r="B9" s="190" t="n">
        <f aca="false">SUM(B10:B12)</f>
        <v>0.120391</v>
      </c>
      <c r="C9" s="1" t="s">
        <v>950</v>
      </c>
    </row>
    <row r="10" customFormat="false" ht="15" hidden="false" customHeight="true" outlineLevel="0" collapsed="false">
      <c r="A10" s="187" t="s">
        <v>951</v>
      </c>
      <c r="B10" s="190" t="n">
        <v>0.051596</v>
      </c>
    </row>
    <row r="11" customFormat="false" ht="15" hidden="false" customHeight="true" outlineLevel="0" collapsed="false">
      <c r="A11" s="187" t="s">
        <v>952</v>
      </c>
      <c r="B11" s="190" t="n">
        <v>0.051596</v>
      </c>
    </row>
    <row r="12" customFormat="false" ht="15" hidden="false" customHeight="true" outlineLevel="0" collapsed="false">
      <c r="A12" s="187" t="s">
        <v>953</v>
      </c>
      <c r="B12" s="190" t="n">
        <v>0.017199</v>
      </c>
    </row>
    <row r="14" customFormat="false" ht="15" hidden="false" customHeight="true" outlineLevel="0" collapsed="false">
      <c r="A14" s="23" t="s">
        <v>954</v>
      </c>
      <c r="B14" s="23"/>
      <c r="C14" s="23"/>
      <c r="D14" s="23"/>
    </row>
    <row r="15" customFormat="false" ht="15" hidden="false" customHeight="true" outlineLevel="0" collapsed="false">
      <c r="A15" s="187" t="s">
        <v>789</v>
      </c>
      <c r="B15" s="262" t="n">
        <v>0.015</v>
      </c>
    </row>
    <row r="16" customFormat="false" ht="15" hidden="false" customHeight="true" outlineLevel="0" collapsed="false">
      <c r="A16" s="187" t="s">
        <v>791</v>
      </c>
      <c r="B16" s="262" t="n">
        <v>0.0074</v>
      </c>
    </row>
    <row r="17" customFormat="false" ht="15" hidden="false" customHeight="true" outlineLevel="0" collapsed="false">
      <c r="A17" s="187" t="s">
        <v>793</v>
      </c>
      <c r="B17" s="262" t="n">
        <v>0.0325</v>
      </c>
    </row>
    <row r="18" customFormat="false" ht="15" hidden="false" customHeight="true" outlineLevel="0" collapsed="false">
      <c r="A18" s="1" t="s">
        <v>955</v>
      </c>
      <c r="B18" s="265" t="n">
        <f aca="false">103966/14337010.8</f>
        <v>0.00725158134079107</v>
      </c>
      <c r="C18" s="1" t="s">
        <v>956</v>
      </c>
      <c r="D18" s="266"/>
    </row>
    <row r="19" customFormat="false" ht="15" hidden="false" customHeight="true" outlineLevel="0" collapsed="false">
      <c r="A19" s="23" t="s">
        <v>957</v>
      </c>
      <c r="B19" s="23"/>
      <c r="C19" s="23"/>
      <c r="D19" s="23"/>
    </row>
    <row r="20" customFormat="false" ht="15" hidden="false" customHeight="true" outlineLevel="0" collapsed="false">
      <c r="A20" s="187" t="s">
        <v>958</v>
      </c>
      <c r="B20" s="262" t="n">
        <v>0.07</v>
      </c>
    </row>
    <row r="21" customFormat="false" ht="15" hidden="false" customHeight="true" outlineLevel="0" collapsed="false">
      <c r="A21" s="187" t="s">
        <v>959</v>
      </c>
      <c r="B21" s="262" t="n">
        <v>0.005</v>
      </c>
    </row>
    <row r="22" customFormat="false" ht="15" hidden="false" customHeight="true" outlineLevel="0" collapsed="false">
      <c r="A22" s="187" t="s">
        <v>960</v>
      </c>
      <c r="B22" s="262" t="n">
        <v>0.05</v>
      </c>
    </row>
    <row r="23" customFormat="false" ht="15" hidden="false" customHeight="true" outlineLevel="0" collapsed="false">
      <c r="A23" s="187" t="s">
        <v>961</v>
      </c>
      <c r="B23" s="262" t="n">
        <v>0.02</v>
      </c>
    </row>
    <row r="24" customFormat="false" ht="13.5" hidden="false" customHeight="true" outlineLevel="0" collapsed="false">
      <c r="A24" s="187" t="s">
        <v>962</v>
      </c>
      <c r="B24" s="262" t="n">
        <v>0.035</v>
      </c>
    </row>
    <row r="25" customFormat="false" ht="15" hidden="false" customHeight="true" outlineLevel="0" collapsed="false">
      <c r="A25" s="23" t="s">
        <v>963</v>
      </c>
      <c r="B25" s="23"/>
      <c r="C25" s="23"/>
      <c r="D25" s="23"/>
    </row>
    <row r="26" customFormat="false" ht="15" hidden="false" customHeight="true" outlineLevel="0" collapsed="false">
      <c r="A26" s="187" t="s">
        <v>964</v>
      </c>
      <c r="B26" s="239" t="n">
        <v>0.02</v>
      </c>
    </row>
    <row r="27" customFormat="false" ht="13.5" hidden="false" customHeight="true" outlineLevel="0" collapsed="false">
      <c r="A27" s="187" t="s">
        <v>965</v>
      </c>
      <c r="B27" s="262" t="n">
        <v>0.003</v>
      </c>
    </row>
    <row r="28" customFormat="false" ht="15" hidden="false" customHeight="true" outlineLevel="0" collapsed="false">
      <c r="A28" s="23" t="s">
        <v>966</v>
      </c>
      <c r="B28" s="23"/>
      <c r="C28" s="23"/>
      <c r="D28" s="23"/>
    </row>
    <row r="29" customFormat="false" ht="15" hidden="false" customHeight="true" outlineLevel="0" collapsed="false">
      <c r="A29" s="187" t="s">
        <v>967</v>
      </c>
      <c r="B29" s="241" t="n">
        <v>1415971</v>
      </c>
    </row>
    <row r="30" customFormat="false" ht="15" hidden="false" customHeight="true" outlineLevel="0" collapsed="false">
      <c r="A30" s="187" t="s">
        <v>968</v>
      </c>
      <c r="B30" s="241" t="n">
        <v>298719</v>
      </c>
    </row>
    <row r="32" customFormat="false" ht="15" hidden="false" customHeight="true" outlineLevel="0" collapsed="false">
      <c r="A32" s="23" t="s">
        <v>969</v>
      </c>
      <c r="B32" s="23"/>
      <c r="C32" s="23"/>
      <c r="D32" s="23"/>
    </row>
    <row r="33" customFormat="false" ht="15" hidden="false" customHeight="true" outlineLevel="0" collapsed="false">
      <c r="A33" s="187" t="s">
        <v>970</v>
      </c>
      <c r="B33" s="241" t="n">
        <v>1615485</v>
      </c>
    </row>
    <row r="34" customFormat="false" ht="15" hidden="false" customHeight="true" outlineLevel="0" collapsed="false">
      <c r="A34" s="187" t="s">
        <v>971</v>
      </c>
      <c r="B34" s="262" t="n">
        <v>0.15</v>
      </c>
    </row>
    <row r="35" customFormat="false" ht="15" hidden="false" customHeight="true" outlineLevel="0" collapsed="false">
      <c r="A35" s="187" t="s">
        <v>972</v>
      </c>
      <c r="B35" s="190" t="n">
        <f aca="false">B34/4</f>
        <v>0.0375</v>
      </c>
    </row>
    <row r="36" customFormat="false" ht="15" hidden="false" customHeight="true" outlineLevel="0" collapsed="false">
      <c r="A36" s="187" t="s">
        <v>973</v>
      </c>
      <c r="B36" s="241" t="n">
        <v>112000</v>
      </c>
    </row>
    <row r="37" customFormat="false" ht="15" hidden="false" customHeight="true" outlineLevel="0" collapsed="false">
      <c r="A37" s="187" t="s">
        <v>974</v>
      </c>
      <c r="B37" s="267" t="n">
        <v>17</v>
      </c>
    </row>
    <row r="38" customFormat="false" ht="15" hidden="false" customHeight="true" outlineLevel="0" collapsed="false">
      <c r="A38" s="268" t="s">
        <v>975</v>
      </c>
    </row>
    <row r="40" customFormat="false" ht="15" hidden="false" customHeight="true" outlineLevel="0" collapsed="false">
      <c r="A40" s="23" t="s">
        <v>976</v>
      </c>
      <c r="B40" s="23"/>
      <c r="C40" s="23"/>
      <c r="D40" s="23"/>
    </row>
    <row r="41" customFormat="false" ht="15" hidden="false" customHeight="true" outlineLevel="0" collapsed="false">
      <c r="A41" s="187" t="s">
        <v>977</v>
      </c>
      <c r="B41" s="241" t="n">
        <v>1000000</v>
      </c>
    </row>
    <row r="42" customFormat="false" ht="15" hidden="false" customHeight="true" outlineLevel="0" collapsed="false">
      <c r="A42" s="187" t="s">
        <v>978</v>
      </c>
      <c r="B42" s="269" t="n">
        <f aca="false">B41*0.25</f>
        <v>250000</v>
      </c>
    </row>
    <row r="43" customFormat="false" ht="15" hidden="false" customHeight="true" outlineLevel="0" collapsed="false">
      <c r="A43" s="187" t="s">
        <v>979</v>
      </c>
      <c r="B43" s="241" t="n">
        <v>1000000</v>
      </c>
    </row>
    <row r="44" customFormat="false" ht="15" hidden="false" customHeight="true" outlineLevel="0" collapsed="false">
      <c r="A44" s="268" t="s">
        <v>980</v>
      </c>
    </row>
    <row r="46" customFormat="false" ht="15" hidden="false" customHeight="true" outlineLevel="0" collapsed="false">
      <c r="A46" s="23" t="s">
        <v>981</v>
      </c>
      <c r="B46" s="23"/>
      <c r="C46" s="23"/>
      <c r="D46" s="23"/>
    </row>
    <row r="47" customFormat="false" ht="15" hidden="false" customHeight="true" outlineLevel="0" collapsed="false">
      <c r="A47" s="187" t="s">
        <v>982</v>
      </c>
      <c r="B47" s="262" t="n">
        <v>0.01</v>
      </c>
    </row>
    <row r="48" customFormat="false" ht="15" hidden="false" customHeight="true" outlineLevel="0" collapsed="false">
      <c r="A48" s="187" t="s">
        <v>983</v>
      </c>
      <c r="B48" s="262" t="n">
        <v>0.03</v>
      </c>
    </row>
    <row r="50" customFormat="false" ht="15" hidden="false" customHeight="true" outlineLevel="0" collapsed="false">
      <c r="A50" s="23" t="s">
        <v>984</v>
      </c>
      <c r="B50" s="23"/>
      <c r="C50" s="270"/>
      <c r="D50" s="23"/>
    </row>
    <row r="51" customFormat="false" ht="15" hidden="false" customHeight="true" outlineLevel="0" collapsed="false">
      <c r="A51" s="187" t="s">
        <v>16</v>
      </c>
      <c r="B51" s="241" t="n">
        <v>0</v>
      </c>
    </row>
    <row r="52" customFormat="false" ht="15" hidden="false" customHeight="true" outlineLevel="0" collapsed="false">
      <c r="A52" s="187" t="s">
        <v>17</v>
      </c>
      <c r="B52" s="241" t="n">
        <v>0</v>
      </c>
    </row>
    <row r="53" customFormat="false" ht="15" hidden="false" customHeight="true" outlineLevel="0" collapsed="false">
      <c r="A53" s="187" t="s">
        <v>12</v>
      </c>
      <c r="B53" s="241" t="n">
        <v>5000000</v>
      </c>
      <c r="C53" s="90"/>
    </row>
    <row r="54" customFormat="false" ht="15" hidden="false" customHeight="true" outlineLevel="0" collapsed="false">
      <c r="A54" s="187" t="s">
        <v>18</v>
      </c>
      <c r="B54" s="241" t="n">
        <v>5000000</v>
      </c>
      <c r="C54" s="90"/>
    </row>
    <row r="55" customFormat="false" ht="15" hidden="false" customHeight="true" outlineLevel="0" collapsed="false">
      <c r="A55" s="187" t="s">
        <v>19</v>
      </c>
      <c r="B55" s="241" t="n">
        <v>5000000</v>
      </c>
      <c r="C55" s="90"/>
    </row>
    <row r="57" customFormat="false" ht="15" hidden="false" customHeight="true" outlineLevel="0" collapsed="false">
      <c r="A57" s="23" t="s">
        <v>985</v>
      </c>
      <c r="B57" s="23"/>
      <c r="C57" s="23"/>
      <c r="D57" s="23"/>
    </row>
    <row r="58" customFormat="false" ht="15" hidden="false" customHeight="true" outlineLevel="0" collapsed="false">
      <c r="A58" s="187" t="s">
        <v>986</v>
      </c>
      <c r="B58" s="262" t="n">
        <v>0.15</v>
      </c>
    </row>
    <row r="59" customFormat="false" ht="15" hidden="false" customHeight="true" outlineLevel="0" collapsed="false">
      <c r="A59" s="187" t="s">
        <v>987</v>
      </c>
      <c r="B59" s="190" t="n">
        <f aca="false">B58/4</f>
        <v>0.0375</v>
      </c>
    </row>
    <row r="60" customFormat="false" ht="15" hidden="false" customHeight="true" outlineLevel="0" collapsed="false">
      <c r="A60" s="187" t="s">
        <v>988</v>
      </c>
      <c r="B60" s="241" t="n">
        <v>0</v>
      </c>
    </row>
    <row r="61" customFormat="false" ht="15" hidden="false" customHeight="true" outlineLevel="0" collapsed="false">
      <c r="A61" s="187" t="s">
        <v>989</v>
      </c>
      <c r="B61" s="241" t="n">
        <v>0</v>
      </c>
    </row>
    <row r="62" customFormat="false" ht="15" hidden="false" customHeight="true" outlineLevel="0" collapsed="false">
      <c r="A62" s="187" t="s">
        <v>990</v>
      </c>
      <c r="B62" s="241" t="n">
        <v>1784000</v>
      </c>
    </row>
    <row r="63" customFormat="false" ht="15" hidden="false" customHeight="true" outlineLevel="0" collapsed="false">
      <c r="A63" s="187" t="s">
        <v>991</v>
      </c>
      <c r="B63" s="241" t="n">
        <v>1766181</v>
      </c>
    </row>
    <row r="64" customFormat="false" ht="15" hidden="false" customHeight="true" outlineLevel="0" collapsed="false">
      <c r="A64" s="268" t="s">
        <v>992</v>
      </c>
    </row>
    <row r="65" customFormat="false" ht="13.5" hidden="false" customHeight="true" outlineLevel="0" collapsed="false">
      <c r="A65" s="187" t="s">
        <v>993</v>
      </c>
      <c r="B65" s="244" t="n">
        <v>60000</v>
      </c>
    </row>
    <row r="66" customFormat="false" ht="15" hidden="false" customHeight="true" outlineLevel="0" collapsed="false">
      <c r="A66" s="97" t="s">
        <v>101</v>
      </c>
    </row>
    <row r="67" customFormat="false" ht="15" hidden="false" customHeight="true" outlineLevel="0" collapsed="false">
      <c r="A67" s="90" t="s">
        <v>994</v>
      </c>
      <c r="B67" s="271" t="n">
        <v>833.33</v>
      </c>
    </row>
    <row r="68" customFormat="false" ht="15" hidden="false" customHeight="true" outlineLevel="0" collapsed="false">
      <c r="A68" s="90" t="s">
        <v>995</v>
      </c>
      <c r="B68" s="90" t="n">
        <v>5</v>
      </c>
    </row>
    <row r="70" customFormat="false" ht="15" hidden="false" customHeight="true" outlineLevel="0" collapsed="false">
      <c r="A70" s="272" t="s">
        <v>996</v>
      </c>
      <c r="B70" s="272"/>
    </row>
    <row r="71" customFormat="false" ht="15" hidden="false" customHeight="true" outlineLevel="0" collapsed="false">
      <c r="A71" s="273" t="s">
        <v>997</v>
      </c>
      <c r="B71" s="274" t="n">
        <v>1134000</v>
      </c>
    </row>
    <row r="72" customFormat="false" ht="15" hidden="false" customHeight="true" outlineLevel="0" collapsed="false">
      <c r="A72" s="275" t="s">
        <v>998</v>
      </c>
      <c r="B72" s="276" t="n">
        <v>50000</v>
      </c>
    </row>
    <row r="73" customFormat="false" ht="15" hidden="false" customHeight="true" outlineLevel="0" collapsed="false">
      <c r="A73" s="273" t="s">
        <v>999</v>
      </c>
      <c r="B73" s="277" t="n">
        <v>14</v>
      </c>
    </row>
    <row r="74" customFormat="false" ht="15" hidden="false" customHeight="true" outlineLevel="0" collapsed="false">
      <c r="A74" s="275" t="s">
        <v>179</v>
      </c>
      <c r="B74" s="276" t="n">
        <v>-1450000</v>
      </c>
    </row>
    <row r="75" customFormat="false" ht="15" hidden="false" customHeight="true" outlineLevel="0" collapsed="false">
      <c r="A75" s="273" t="s">
        <v>1000</v>
      </c>
      <c r="B75" s="274" t="n">
        <v>264927.15</v>
      </c>
    </row>
    <row r="76" customFormat="false" ht="15" hidden="false" customHeight="true" outlineLevel="0" collapsed="false">
      <c r="A76" s="275" t="s">
        <v>1001</v>
      </c>
      <c r="B76" s="276" t="n">
        <v>883090.5</v>
      </c>
    </row>
    <row r="77" customFormat="false" ht="15" hidden="false" customHeight="true" outlineLevel="0" collapsed="false">
      <c r="A77" s="273" t="s">
        <v>174</v>
      </c>
      <c r="B77" s="274" t="n">
        <v>-1800000</v>
      </c>
    </row>
    <row r="79" customFormat="false" ht="19.5" hidden="false" customHeight="true" outlineLevel="0" collapsed="false">
      <c r="A79" s="278" t="s">
        <v>1002</v>
      </c>
    </row>
    <row r="80" customFormat="false" ht="15" hidden="false" customHeight="true" outlineLevel="0" collapsed="false">
      <c r="A80" s="279" t="s">
        <v>1003</v>
      </c>
      <c r="B80" s="280" t="n">
        <v>1</v>
      </c>
    </row>
    <row r="82" customFormat="false" ht="27.75" hidden="false" customHeight="true" outlineLevel="0" collapsed="false">
      <c r="A82" s="166" t="s">
        <v>1004</v>
      </c>
      <c r="B82" s="166" t="s">
        <v>1005</v>
      </c>
      <c r="C82" s="166" t="s">
        <v>1006</v>
      </c>
    </row>
    <row r="83" customFormat="false" ht="15" hidden="false" customHeight="true" outlineLevel="0" collapsed="false">
      <c r="A83" s="281" t="s">
        <v>1007</v>
      </c>
      <c r="B83" s="282" t="n">
        <v>0</v>
      </c>
      <c r="C83" s="283" t="n">
        <v>0.25</v>
      </c>
    </row>
    <row r="84" customFormat="false" ht="15" hidden="false" customHeight="true" outlineLevel="0" collapsed="false">
      <c r="A84" s="281" t="s">
        <v>1008</v>
      </c>
      <c r="B84" s="282" t="n">
        <v>20000000</v>
      </c>
      <c r="C84" s="283" t="n">
        <v>0.5</v>
      </c>
    </row>
    <row r="85" customFormat="false" ht="15" hidden="false" customHeight="true" outlineLevel="0" collapsed="false">
      <c r="A85" s="281" t="s">
        <v>1009</v>
      </c>
      <c r="B85" s="282" t="n">
        <v>40000000</v>
      </c>
      <c r="C85" s="283" t="n">
        <v>0.75</v>
      </c>
    </row>
    <row r="86" customFormat="false" ht="15" hidden="false" customHeight="true" outlineLevel="0" collapsed="false">
      <c r="A86" s="281" t="s">
        <v>1010</v>
      </c>
      <c r="B86" s="282" t="n">
        <v>60000000</v>
      </c>
      <c r="C86" s="283" t="n">
        <v>1</v>
      </c>
    </row>
    <row r="88" customFormat="false" ht="15" hidden="false" customHeight="true" outlineLevel="0" collapsed="false">
      <c r="A88" s="72" t="s">
        <v>1011</v>
      </c>
    </row>
    <row r="92" customFormat="false" ht="15" hidden="false" customHeight="true" outlineLevel="0" collapsed="false">
      <c r="A92" s="1" t="s">
        <v>1012</v>
      </c>
    </row>
    <row r="93" customFormat="false" ht="15" hidden="false" customHeight="true" outlineLevel="0" collapsed="false">
      <c r="A93" s="1" t="s">
        <v>1013</v>
      </c>
    </row>
    <row r="94" customFormat="false" ht="15" hidden="false" customHeight="true" outlineLevel="0" collapsed="false">
      <c r="A94" s="1" t="s">
        <v>1014</v>
      </c>
    </row>
    <row r="95" customFormat="false" ht="15" hidden="false" customHeight="true" outlineLevel="0" collapsed="false">
      <c r="A95" s="1" t="s">
        <v>1015</v>
      </c>
    </row>
    <row r="96" customFormat="false" ht="15" hidden="false" customHeight="true" outlineLevel="0" collapsed="false">
      <c r="A96" s="1" t="s">
        <v>1016</v>
      </c>
    </row>
    <row r="97" customFormat="false" ht="15" hidden="false" customHeight="true" outlineLevel="0" collapsed="false">
      <c r="A97" s="1" t="s">
        <v>1017</v>
      </c>
    </row>
    <row r="98" customFormat="false" ht="15" hidden="false" customHeight="true" outlineLevel="0" collapsed="false">
      <c r="A98" s="1" t="s">
        <v>1018</v>
      </c>
    </row>
    <row r="99" customFormat="false" ht="15" hidden="false" customHeight="true" outlineLevel="0" collapsed="false">
      <c r="A99" s="1" t="s">
        <v>1019</v>
      </c>
    </row>
    <row r="100" customFormat="false" ht="15" hidden="false" customHeight="true" outlineLevel="0" collapsed="false">
      <c r="A100" s="1" t="s">
        <v>1020</v>
      </c>
    </row>
    <row r="101" customFormat="false" ht="15" hidden="false" customHeight="true" outlineLevel="0" collapsed="false">
      <c r="A101" s="1" t="s">
        <v>1021</v>
      </c>
    </row>
    <row r="102" customFormat="false" ht="15" hidden="false" customHeight="true" outlineLevel="0" collapsed="false">
      <c r="A102" s="1" t="s">
        <v>1022</v>
      </c>
    </row>
    <row r="103" customFormat="false" ht="15" hidden="false" customHeight="true" outlineLevel="0" collapsed="false">
      <c r="A103" s="1" t="s">
        <v>1023</v>
      </c>
    </row>
    <row r="104" customFormat="false" ht="15" hidden="false" customHeight="true" outlineLevel="0" collapsed="false">
      <c r="A104" s="1" t="s">
        <v>1024</v>
      </c>
    </row>
    <row r="105" customFormat="false" ht="15" hidden="false" customHeight="true" outlineLevel="0" collapsed="false">
      <c r="A105" s="1" t="s">
        <v>1025</v>
      </c>
    </row>
    <row r="106" customFormat="false" ht="15" hidden="false" customHeight="true" outlineLevel="0" collapsed="false">
      <c r="A106" s="1" t="s">
        <v>1026</v>
      </c>
    </row>
    <row r="108" customFormat="false" ht="15" hidden="false" customHeight="true" outlineLevel="0" collapsed="false">
      <c r="A108" s="1" t="s">
        <v>1027</v>
      </c>
    </row>
    <row r="109" customFormat="false" ht="15" hidden="false" customHeight="true" outlineLevel="0" collapsed="false">
      <c r="A109" s="1" t="s">
        <v>1028</v>
      </c>
    </row>
    <row r="110" customFormat="false" ht="15" hidden="false" customHeight="true" outlineLevel="0" collapsed="false">
      <c r="A110" s="1" t="s">
        <v>1029</v>
      </c>
    </row>
    <row r="112" customFormat="false" ht="15" hidden="false" customHeight="true" outlineLevel="0" collapsed="false">
      <c r="A112" s="1" t="s">
        <v>1030</v>
      </c>
    </row>
    <row r="113" customFormat="false" ht="15" hidden="false" customHeight="true" outlineLevel="0" collapsed="false">
      <c r="A113" s="1" t="s">
        <v>1031</v>
      </c>
    </row>
    <row r="114" customFormat="false" ht="15" hidden="false" customHeight="true" outlineLevel="0" collapsed="false">
      <c r="A114" s="1" t="s">
        <v>1032</v>
      </c>
    </row>
    <row r="115" customFormat="false" ht="15" hidden="false" customHeight="true" outlineLevel="0" collapsed="false">
      <c r="A115" s="1" t="s">
        <v>1033</v>
      </c>
    </row>
    <row r="117" customFormat="false" ht="15" hidden="false" customHeight="true" outlineLevel="0" collapsed="false">
      <c r="A117" s="1" t="s">
        <v>1034</v>
      </c>
    </row>
    <row r="118" customFormat="false" ht="15" hidden="false" customHeight="true" outlineLevel="0" collapsed="false">
      <c r="A118" s="1" t="s">
        <v>1035</v>
      </c>
    </row>
    <row r="119" customFormat="false" ht="15" hidden="false" customHeight="true" outlineLevel="0" collapsed="false">
      <c r="A119" s="1" t="s">
        <v>1036</v>
      </c>
    </row>
    <row r="120" customFormat="false" ht="15" hidden="false" customHeight="true" outlineLevel="0" collapsed="false">
      <c r="A120" s="1" t="s">
        <v>1037</v>
      </c>
    </row>
    <row r="121" customFormat="false" ht="15" hidden="false" customHeight="true" outlineLevel="0" collapsed="false">
      <c r="A121" s="1" t="s">
        <v>1038</v>
      </c>
    </row>
    <row r="130" customFormat="false" ht="15" hidden="false" customHeight="true" outlineLevel="0" collapsed="false">
      <c r="A130" s="1" t="s">
        <v>1039</v>
      </c>
    </row>
    <row r="131" customFormat="false" ht="15" hidden="false" customHeight="true" outlineLevel="0" collapsed="false">
      <c r="A131" s="1" t="s">
        <v>1040</v>
      </c>
    </row>
    <row r="132" customFormat="false" ht="15" hidden="false" customHeight="true" outlineLevel="0" collapsed="false">
      <c r="A132" s="1" t="s">
        <v>1041</v>
      </c>
    </row>
    <row r="133" customFormat="false" ht="15" hidden="false" customHeight="true" outlineLevel="0" collapsed="false">
      <c r="A133" s="1" t="s">
        <v>1042</v>
      </c>
    </row>
    <row r="134" customFormat="false" ht="15" hidden="false" customHeight="true" outlineLevel="0" collapsed="false">
      <c r="A134" s="1" t="s">
        <v>1043</v>
      </c>
    </row>
    <row r="135" customFormat="false" ht="15" hidden="false" customHeight="true" outlineLevel="0" collapsed="false">
      <c r="A135" s="1" t="s">
        <v>1044</v>
      </c>
    </row>
    <row r="136" customFormat="false" ht="15" hidden="false" customHeight="true" outlineLevel="0" collapsed="false">
      <c r="A136" s="1" t="s">
        <v>1045</v>
      </c>
    </row>
    <row r="137" customFormat="false" ht="15" hidden="false" customHeight="true" outlineLevel="0" collapsed="false">
      <c r="A137" s="1" t="s">
        <v>1046</v>
      </c>
    </row>
    <row r="138" customFormat="false" ht="15" hidden="false" customHeight="true" outlineLevel="0" collapsed="false">
      <c r="A138" s="1" t="s">
        <v>1047</v>
      </c>
    </row>
    <row r="139" customFormat="false" ht="15" hidden="false" customHeight="true" outlineLevel="0" collapsed="false">
      <c r="A139" s="1" t="s">
        <v>1048</v>
      </c>
    </row>
    <row r="141" customFormat="false" ht="15" hidden="false" customHeight="true" outlineLevel="0" collapsed="false">
      <c r="A141" s="1" t="s">
        <v>1049</v>
      </c>
    </row>
    <row r="142" customFormat="false" ht="15" hidden="false" customHeight="true" outlineLevel="0" collapsed="false">
      <c r="A142" s="1" t="s">
        <v>1050</v>
      </c>
    </row>
    <row r="143" customFormat="false" ht="15" hidden="false" customHeight="true" outlineLevel="0" collapsed="false">
      <c r="A143" s="1" t="s">
        <v>1051</v>
      </c>
    </row>
    <row r="144" customFormat="false" ht="15" hidden="false" customHeight="true" outlineLevel="0" collapsed="false">
      <c r="A144" s="1" t="s">
        <v>1052</v>
      </c>
    </row>
    <row r="145" customFormat="false" ht="15" hidden="false" customHeight="true" outlineLevel="0" collapsed="false">
      <c r="A145" s="1" t="s">
        <v>1053</v>
      </c>
    </row>
    <row r="146" customFormat="false" ht="15" hidden="false" customHeight="true" outlineLevel="0" collapsed="false">
      <c r="A146" s="1" t="s">
        <v>1054</v>
      </c>
    </row>
    <row r="147" customFormat="false" ht="15" hidden="false" customHeight="true" outlineLevel="0" collapsed="false">
      <c r="A147" s="1" t="s">
        <v>1055</v>
      </c>
    </row>
    <row r="148" customFormat="false" ht="15" hidden="false" customHeight="true" outlineLevel="0" collapsed="false">
      <c r="A148" s="1" t="s">
        <v>1056</v>
      </c>
    </row>
    <row r="149" customFormat="false" ht="15" hidden="false" customHeight="true" outlineLevel="0" collapsed="false">
      <c r="A149" s="1" t="s">
        <v>1057</v>
      </c>
    </row>
    <row r="150" customFormat="false" ht="13.5" hidden="false" customHeight="true" outlineLevel="0" collapsed="false">
      <c r="A150" s="278" t="s">
        <v>1058</v>
      </c>
    </row>
    <row r="151" customFormat="false" ht="13.5" hidden="false" customHeight="true" outlineLevel="0" collapsed="false">
      <c r="A151" s="187" t="s">
        <v>1059</v>
      </c>
      <c r="B151" s="244" t="n">
        <v>75000</v>
      </c>
    </row>
    <row r="152" customFormat="false" ht="13.5" hidden="false" customHeight="true" outlineLevel="0" collapsed="false">
      <c r="A152" s="187" t="s">
        <v>1060</v>
      </c>
      <c r="B152" s="244" t="n">
        <v>200000</v>
      </c>
    </row>
    <row r="153" customFormat="false" ht="13.5" hidden="false" customHeight="true" outlineLevel="0" collapsed="false">
      <c r="A153" s="187" t="s">
        <v>1061</v>
      </c>
      <c r="B153" s="244" t="n">
        <v>47000</v>
      </c>
    </row>
    <row r="154" customFormat="false" ht="13.5" hidden="false" customHeight="true" outlineLevel="0" collapsed="false">
      <c r="A154" s="187" t="s">
        <v>1062</v>
      </c>
      <c r="B154" s="244" t="n">
        <v>4000</v>
      </c>
    </row>
    <row r="155" customFormat="false" ht="13.5" hidden="false" customHeight="true" outlineLevel="0" collapsed="false">
      <c r="A155" s="187" t="s">
        <v>1063</v>
      </c>
      <c r="B155" s="244" t="n">
        <v>5550</v>
      </c>
    </row>
    <row r="156" customFormat="false" ht="13.5" hidden="false" customHeight="true" outlineLevel="0" collapsed="false">
      <c r="A156" s="278" t="s">
        <v>1064</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30468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1065</v>
      </c>
      <c r="B1" s="4" t="s">
        <v>1066</v>
      </c>
    </row>
    <row r="2" customFormat="false" ht="15" hidden="false" customHeight="true" outlineLevel="0" collapsed="false">
      <c r="A2" s="279" t="n">
        <v>1</v>
      </c>
      <c r="B2" s="284" t="n">
        <f aca="false">IF(A2&lt;22,1,(1+Assumptions!$B$26)^(INT((A2-22)/12)+1))</f>
        <v>1</v>
      </c>
    </row>
    <row r="3" customFormat="false" ht="15" hidden="false" customHeight="true" outlineLevel="0" collapsed="false">
      <c r="A3" s="279" t="n">
        <v>2</v>
      </c>
      <c r="B3" s="284" t="n">
        <f aca="false">IF(A3&lt;22,1,(1+Assumptions!$B$26)^(INT((A3-22)/12)+1))</f>
        <v>1</v>
      </c>
    </row>
    <row r="4" customFormat="false" ht="15" hidden="false" customHeight="true" outlineLevel="0" collapsed="false">
      <c r="A4" s="279" t="n">
        <v>3</v>
      </c>
      <c r="B4" s="284" t="n">
        <f aca="false">IF(A4&lt;22,1,(1+Assumptions!$B$26)^(INT((A4-22)/12)+1))</f>
        <v>1</v>
      </c>
    </row>
    <row r="5" customFormat="false" ht="15" hidden="false" customHeight="true" outlineLevel="0" collapsed="false">
      <c r="A5" s="279" t="n">
        <v>4</v>
      </c>
      <c r="B5" s="284" t="n">
        <f aca="false">IF(A5&lt;22,1,(1+Assumptions!$B$26)^(INT((A5-22)/12)+1))</f>
        <v>1</v>
      </c>
    </row>
    <row r="6" customFormat="false" ht="15" hidden="false" customHeight="true" outlineLevel="0" collapsed="false">
      <c r="A6" s="279" t="n">
        <v>5</v>
      </c>
      <c r="B6" s="284" t="n">
        <f aca="false">IF(A6&lt;22,1,(1+Assumptions!$B$26)^(INT((A6-22)/12)+1))</f>
        <v>1</v>
      </c>
    </row>
    <row r="7" customFormat="false" ht="15" hidden="false" customHeight="true" outlineLevel="0" collapsed="false">
      <c r="A7" s="279" t="n">
        <v>6</v>
      </c>
      <c r="B7" s="284" t="n">
        <f aca="false">IF(A7&lt;22,1,(1+Assumptions!$B$26)^(INT((A7-22)/12)+1))</f>
        <v>1</v>
      </c>
    </row>
    <row r="8" customFormat="false" ht="15" hidden="false" customHeight="true" outlineLevel="0" collapsed="false">
      <c r="A8" s="279" t="n">
        <v>7</v>
      </c>
      <c r="B8" s="284" t="n">
        <f aca="false">IF(A8&lt;22,1,(1+Assumptions!$B$26)^(INT((A8-22)/12)+1))</f>
        <v>1</v>
      </c>
    </row>
    <row r="9" customFormat="false" ht="15" hidden="false" customHeight="true" outlineLevel="0" collapsed="false">
      <c r="A9" s="279" t="n">
        <v>8</v>
      </c>
      <c r="B9" s="284" t="n">
        <f aca="false">IF(A9&lt;22,1,(1+Assumptions!$B$26)^(INT((A9-22)/12)+1))</f>
        <v>1</v>
      </c>
    </row>
    <row r="10" customFormat="false" ht="15" hidden="false" customHeight="true" outlineLevel="0" collapsed="false">
      <c r="A10" s="279" t="n">
        <v>9</v>
      </c>
      <c r="B10" s="284" t="n">
        <f aca="false">IF(A10&lt;22,1,(1+Assumptions!$B$26)^(INT((A10-22)/12)+1))</f>
        <v>1</v>
      </c>
    </row>
    <row r="11" customFormat="false" ht="15" hidden="false" customHeight="true" outlineLevel="0" collapsed="false">
      <c r="A11" s="279" t="n">
        <v>10</v>
      </c>
      <c r="B11" s="284" t="n">
        <f aca="false">IF(A11&lt;22,1,(1+Assumptions!$B$26)^(INT((A11-22)/12)+1))</f>
        <v>1</v>
      </c>
    </row>
    <row r="12" customFormat="false" ht="15" hidden="false" customHeight="true" outlineLevel="0" collapsed="false">
      <c r="A12" s="279" t="n">
        <v>11</v>
      </c>
      <c r="B12" s="284" t="n">
        <f aca="false">IF(A12&lt;22,1,(1+Assumptions!$B$26)^(INT((A12-22)/12)+1))</f>
        <v>1</v>
      </c>
    </row>
    <row r="13" customFormat="false" ht="15" hidden="false" customHeight="true" outlineLevel="0" collapsed="false">
      <c r="A13" s="279" t="n">
        <v>12</v>
      </c>
      <c r="B13" s="284" t="n">
        <f aca="false">IF(A13&lt;22,1,(1+Assumptions!$B$26)^(INT((A13-22)/12)+1))</f>
        <v>1</v>
      </c>
    </row>
    <row r="14" customFormat="false" ht="15" hidden="false" customHeight="true" outlineLevel="0" collapsed="false">
      <c r="A14" s="279" t="n">
        <v>13</v>
      </c>
      <c r="B14" s="284" t="n">
        <f aca="false">IF(A14&lt;22,1,(1+Assumptions!$B$26)^(INT((A14-22)/12)+1))</f>
        <v>1</v>
      </c>
    </row>
    <row r="15" customFormat="false" ht="15" hidden="false" customHeight="true" outlineLevel="0" collapsed="false">
      <c r="A15" s="279" t="n">
        <v>14</v>
      </c>
      <c r="B15" s="284" t="n">
        <f aca="false">IF(A15&lt;22,1,(1+Assumptions!$B$26)^(INT((A15-22)/12)+1))</f>
        <v>1</v>
      </c>
    </row>
    <row r="16" customFormat="false" ht="15" hidden="false" customHeight="true" outlineLevel="0" collapsed="false">
      <c r="A16" s="279" t="n">
        <v>15</v>
      </c>
      <c r="B16" s="284" t="n">
        <f aca="false">IF(A16&lt;22,1,(1+Assumptions!$B$26)^(INT((A16-22)/12)+1))</f>
        <v>1</v>
      </c>
    </row>
    <row r="17" customFormat="false" ht="15" hidden="false" customHeight="true" outlineLevel="0" collapsed="false">
      <c r="A17" s="279" t="n">
        <v>16</v>
      </c>
      <c r="B17" s="284" t="n">
        <f aca="false">IF(A17&lt;22,1,(1+Assumptions!$B$26)^(INT((A17-22)/12)+1))</f>
        <v>1</v>
      </c>
    </row>
    <row r="18" customFormat="false" ht="15" hidden="false" customHeight="true" outlineLevel="0" collapsed="false">
      <c r="A18" s="279" t="n">
        <v>17</v>
      </c>
      <c r="B18" s="284" t="n">
        <f aca="false">IF(A18&lt;22,1,(1+Assumptions!$B$26)^(INT((A18-22)/12)+1))</f>
        <v>1</v>
      </c>
    </row>
    <row r="19" customFormat="false" ht="15" hidden="false" customHeight="true" outlineLevel="0" collapsed="false">
      <c r="A19" s="279" t="n">
        <v>18</v>
      </c>
      <c r="B19" s="284" t="n">
        <f aca="false">IF(A19&lt;22,1,(1+Assumptions!$B$26)^(INT((A19-22)/12)+1))</f>
        <v>1</v>
      </c>
    </row>
    <row r="20" customFormat="false" ht="15" hidden="false" customHeight="true" outlineLevel="0" collapsed="false">
      <c r="A20" s="279" t="n">
        <v>19</v>
      </c>
      <c r="B20" s="284" t="n">
        <f aca="false">IF(A20&lt;22,1,(1+Assumptions!$B$26)^(INT((A20-22)/12)+1))</f>
        <v>1</v>
      </c>
    </row>
    <row r="21" customFormat="false" ht="15" hidden="false" customHeight="true" outlineLevel="0" collapsed="false">
      <c r="A21" s="279" t="n">
        <v>20</v>
      </c>
      <c r="B21" s="284" t="n">
        <f aca="false">IF(A21&lt;22,1,(1+Assumptions!$B$26)^(INT((A21-22)/12)+1))</f>
        <v>1</v>
      </c>
    </row>
    <row r="22" customFormat="false" ht="15" hidden="false" customHeight="true" outlineLevel="0" collapsed="false">
      <c r="A22" s="279" t="n">
        <v>21</v>
      </c>
      <c r="B22" s="284" t="n">
        <f aca="false">IF(A22&lt;22,1,(1+Assumptions!$B$26)^(INT((A22-22)/12)+1))</f>
        <v>1</v>
      </c>
    </row>
    <row r="23" customFormat="false" ht="15" hidden="false" customHeight="true" outlineLevel="0" collapsed="false">
      <c r="A23" s="279" t="n">
        <v>22</v>
      </c>
      <c r="B23" s="284" t="n">
        <f aca="false">IF(A23&lt;22,1,(1+Assumptions!$B$26)^(INT((A23-22)/12)+1))</f>
        <v>1.02</v>
      </c>
    </row>
    <row r="24" customFormat="false" ht="15" hidden="false" customHeight="true" outlineLevel="0" collapsed="false">
      <c r="A24" s="279" t="n">
        <v>23</v>
      </c>
      <c r="B24" s="284" t="n">
        <f aca="false">IF(A24&lt;22,1,(1+Assumptions!$B$26)^(INT((A24-22)/12)+1))</f>
        <v>1.02</v>
      </c>
    </row>
    <row r="25" customFormat="false" ht="15" hidden="false" customHeight="true" outlineLevel="0" collapsed="false">
      <c r="A25" s="279" t="n">
        <v>24</v>
      </c>
      <c r="B25" s="284" t="n">
        <f aca="false">IF(A25&lt;22,1,(1+Assumptions!$B$26)^(INT((A25-22)/12)+1))</f>
        <v>1.02</v>
      </c>
    </row>
    <row r="26" customFormat="false" ht="15" hidden="false" customHeight="true" outlineLevel="0" collapsed="false">
      <c r="A26" s="279" t="n">
        <v>25</v>
      </c>
      <c r="B26" s="284" t="n">
        <f aca="false">IF(A26&lt;22,1,(1+Assumptions!$B$26)^(INT((A26-22)/12)+1))</f>
        <v>1.02</v>
      </c>
    </row>
    <row r="27" customFormat="false" ht="15" hidden="false" customHeight="true" outlineLevel="0" collapsed="false">
      <c r="A27" s="279" t="n">
        <v>26</v>
      </c>
      <c r="B27" s="284" t="n">
        <f aca="false">IF(A27&lt;22,1,(1+Assumptions!$B$26)^(INT((A27-22)/12)+1))</f>
        <v>1.02</v>
      </c>
    </row>
    <row r="28" customFormat="false" ht="15" hidden="false" customHeight="true" outlineLevel="0" collapsed="false">
      <c r="A28" s="279" t="n">
        <v>27</v>
      </c>
      <c r="B28" s="284" t="n">
        <f aca="false">IF(A28&lt;22,1,(1+Assumptions!$B$26)^(INT((A28-22)/12)+1))</f>
        <v>1.02</v>
      </c>
    </row>
    <row r="29" customFormat="false" ht="15" hidden="false" customHeight="true" outlineLevel="0" collapsed="false">
      <c r="A29" s="279" t="n">
        <v>28</v>
      </c>
      <c r="B29" s="284" t="n">
        <f aca="false">IF(A29&lt;22,1,(1+Assumptions!$B$26)^(INT((A29-22)/12)+1))</f>
        <v>1.02</v>
      </c>
    </row>
    <row r="30" customFormat="false" ht="15" hidden="false" customHeight="true" outlineLevel="0" collapsed="false">
      <c r="A30" s="279" t="n">
        <v>29</v>
      </c>
      <c r="B30" s="284" t="n">
        <f aca="false">IF(A30&lt;22,1,(1+Assumptions!$B$26)^(INT((A30-22)/12)+1))</f>
        <v>1.02</v>
      </c>
    </row>
    <row r="31" customFormat="false" ht="15" hidden="false" customHeight="true" outlineLevel="0" collapsed="false">
      <c r="A31" s="279" t="n">
        <v>30</v>
      </c>
      <c r="B31" s="284" t="n">
        <f aca="false">IF(A31&lt;22,1,(1+Assumptions!$B$26)^(INT((A31-22)/12)+1))</f>
        <v>1.02</v>
      </c>
    </row>
    <row r="32" customFormat="false" ht="15" hidden="false" customHeight="true" outlineLevel="0" collapsed="false">
      <c r="A32" s="279" t="n">
        <v>31</v>
      </c>
      <c r="B32" s="284" t="n">
        <f aca="false">IF(A32&lt;22,1,(1+Assumptions!$B$26)^(INT((A32-22)/12)+1))</f>
        <v>1.02</v>
      </c>
    </row>
    <row r="33" customFormat="false" ht="15" hidden="false" customHeight="true" outlineLevel="0" collapsed="false">
      <c r="A33" s="279" t="n">
        <v>32</v>
      </c>
      <c r="B33" s="284" t="n">
        <f aca="false">IF(A33&lt;22,1,(1+Assumptions!$B$26)^(INT((A33-22)/12)+1))</f>
        <v>1.02</v>
      </c>
    </row>
    <row r="34" customFormat="false" ht="15" hidden="false" customHeight="true" outlineLevel="0" collapsed="false">
      <c r="A34" s="279" t="n">
        <v>33</v>
      </c>
      <c r="B34" s="284" t="n">
        <f aca="false">IF(A34&lt;22,1,(1+Assumptions!$B$26)^(INT((A34-22)/12)+1))</f>
        <v>1.02</v>
      </c>
    </row>
    <row r="35" customFormat="false" ht="15" hidden="false" customHeight="true" outlineLevel="0" collapsed="false">
      <c r="A35" s="279" t="n">
        <v>34</v>
      </c>
      <c r="B35" s="284" t="n">
        <f aca="false">IF(A35&lt;22,1,(1+Assumptions!$B$26)^(INT((A35-22)/12)+1))</f>
        <v>1.0404</v>
      </c>
    </row>
    <row r="36" customFormat="false" ht="15" hidden="false" customHeight="true" outlineLevel="0" collapsed="false">
      <c r="A36" s="279" t="n">
        <v>35</v>
      </c>
      <c r="B36" s="284" t="n">
        <f aca="false">IF(A36&lt;22,1,(1+Assumptions!$B$26)^(INT((A36-22)/12)+1))</f>
        <v>1.0404</v>
      </c>
    </row>
    <row r="37" customFormat="false" ht="15" hidden="false" customHeight="true" outlineLevel="0" collapsed="false">
      <c r="A37" s="279" t="n">
        <v>36</v>
      </c>
      <c r="B37" s="284" t="n">
        <f aca="false">IF(A37&lt;22,1,(1+Assumptions!$B$26)^(INT((A37-22)/12)+1))</f>
        <v>1.0404</v>
      </c>
    </row>
    <row r="38" customFormat="false" ht="15" hidden="false" customHeight="true" outlineLevel="0" collapsed="false">
      <c r="A38" s="279" t="n">
        <v>37</v>
      </c>
      <c r="B38" s="284" t="n">
        <f aca="false">IF(A38&lt;22,1,(1+Assumptions!$B$26)^(INT((A38-22)/12)+1))</f>
        <v>1.0404</v>
      </c>
    </row>
    <row r="39" customFormat="false" ht="15" hidden="false" customHeight="true" outlineLevel="0" collapsed="false">
      <c r="A39" s="279" t="n">
        <v>38</v>
      </c>
      <c r="B39" s="284" t="n">
        <f aca="false">IF(A39&lt;22,1,(1+Assumptions!$B$26)^(INT((A39-22)/12)+1))</f>
        <v>1.0404</v>
      </c>
    </row>
    <row r="40" customFormat="false" ht="15" hidden="false" customHeight="true" outlineLevel="0" collapsed="false">
      <c r="A40" s="279" t="n">
        <v>39</v>
      </c>
      <c r="B40" s="284" t="n">
        <f aca="false">IF(A40&lt;22,1,(1+Assumptions!$B$26)^(INT((A40-22)/12)+1))</f>
        <v>1.0404</v>
      </c>
    </row>
    <row r="41" customFormat="false" ht="15" hidden="false" customHeight="true" outlineLevel="0" collapsed="false">
      <c r="A41" s="279" t="n">
        <v>40</v>
      </c>
      <c r="B41" s="284" t="n">
        <f aca="false">IF(A41&lt;22,1,(1+Assumptions!$B$26)^(INT((A41-22)/12)+1))</f>
        <v>1.0404</v>
      </c>
    </row>
    <row r="42" customFormat="false" ht="15" hidden="false" customHeight="true" outlineLevel="0" collapsed="false">
      <c r="A42" s="279" t="n">
        <v>41</v>
      </c>
      <c r="B42" s="284" t="n">
        <f aca="false">IF(A42&lt;22,1,(1+Assumptions!$B$26)^(INT((A42-22)/12)+1))</f>
        <v>1.0404</v>
      </c>
    </row>
    <row r="43" customFormat="false" ht="15" hidden="false" customHeight="true" outlineLevel="0" collapsed="false">
      <c r="A43" s="279" t="n">
        <v>42</v>
      </c>
      <c r="B43" s="284" t="n">
        <f aca="false">IF(A43&lt;22,1,(1+Assumptions!$B$26)^(INT((A43-22)/12)+1))</f>
        <v>1.0404</v>
      </c>
    </row>
    <row r="44" customFormat="false" ht="15" hidden="false" customHeight="true" outlineLevel="0" collapsed="false">
      <c r="A44" s="279" t="n">
        <v>43</v>
      </c>
      <c r="B44" s="284" t="n">
        <f aca="false">IF(A44&lt;22,1,(1+Assumptions!$B$26)^(INT((A44-22)/12)+1))</f>
        <v>1.0404</v>
      </c>
    </row>
    <row r="45" customFormat="false" ht="15" hidden="false" customHeight="true" outlineLevel="0" collapsed="false">
      <c r="A45" s="279" t="n">
        <v>44</v>
      </c>
      <c r="B45" s="284" t="n">
        <f aca="false">IF(A45&lt;22,1,(1+Assumptions!$B$26)^(INT((A45-22)/12)+1))</f>
        <v>1.0404</v>
      </c>
    </row>
    <row r="46" customFormat="false" ht="15" hidden="false" customHeight="true" outlineLevel="0" collapsed="false">
      <c r="A46" s="279" t="n">
        <v>45</v>
      </c>
      <c r="B46" s="284" t="n">
        <f aca="false">IF(A46&lt;22,1,(1+Assumptions!$B$26)^(INT((A46-22)/12)+1))</f>
        <v>1.0404</v>
      </c>
    </row>
    <row r="47" customFormat="false" ht="15" hidden="false" customHeight="true" outlineLevel="0" collapsed="false">
      <c r="A47" s="279" t="n">
        <v>46</v>
      </c>
      <c r="B47" s="284" t="n">
        <f aca="false">IF(A47&lt;22,1,(1+Assumptions!$B$26)^(INT((A47-22)/12)+1))</f>
        <v>1.061208</v>
      </c>
    </row>
    <row r="48" customFormat="false" ht="15" hidden="false" customHeight="true" outlineLevel="0" collapsed="false">
      <c r="A48" s="279" t="n">
        <v>47</v>
      </c>
      <c r="B48" s="284" t="n">
        <f aca="false">IF(A48&lt;22,1,(1+Assumptions!$B$26)^(INT((A48-22)/12)+1))</f>
        <v>1.061208</v>
      </c>
    </row>
    <row r="49" customFormat="false" ht="15" hidden="false" customHeight="true" outlineLevel="0" collapsed="false">
      <c r="A49" s="279" t="n">
        <v>48</v>
      </c>
      <c r="B49" s="284" t="n">
        <f aca="false">IF(A49&lt;22,1,(1+Assumptions!$B$26)^(INT((A49-22)/12)+1))</f>
        <v>1.061208</v>
      </c>
    </row>
    <row r="50" customFormat="false" ht="15" hidden="false" customHeight="true" outlineLevel="0" collapsed="false">
      <c r="A50" s="279" t="n">
        <v>49</v>
      </c>
      <c r="B50" s="284" t="n">
        <f aca="false">IF(A50&lt;22,1,(1+Assumptions!$B$26)^(INT((A50-22)/12)+1))</f>
        <v>1.061208</v>
      </c>
    </row>
    <row r="51" customFormat="false" ht="15" hidden="false" customHeight="true" outlineLevel="0" collapsed="false">
      <c r="A51" s="279" t="n">
        <v>50</v>
      </c>
      <c r="B51" s="284" t="n">
        <f aca="false">IF(A51&lt;22,1,(1+Assumptions!$B$26)^(INT((A51-22)/12)+1))</f>
        <v>1.061208</v>
      </c>
    </row>
    <row r="52" customFormat="false" ht="15" hidden="false" customHeight="true" outlineLevel="0" collapsed="false">
      <c r="A52" s="279" t="n">
        <v>51</v>
      </c>
      <c r="B52" s="284" t="n">
        <f aca="false">IF(A52&lt;22,1,(1+Assumptions!$B$26)^(INT((A52-22)/12)+1))</f>
        <v>1.061208</v>
      </c>
    </row>
    <row r="53" customFormat="false" ht="15" hidden="false" customHeight="true" outlineLevel="0" collapsed="false">
      <c r="A53" s="279" t="n">
        <v>52</v>
      </c>
      <c r="B53" s="284" t="n">
        <f aca="false">IF(A53&lt;22,1,(1+Assumptions!$B$26)^(INT((A53-22)/12)+1))</f>
        <v>1.061208</v>
      </c>
    </row>
    <row r="54" customFormat="false" ht="15" hidden="false" customHeight="true" outlineLevel="0" collapsed="false">
      <c r="A54" s="279" t="n">
        <v>53</v>
      </c>
      <c r="B54" s="284" t="n">
        <f aca="false">IF(A54&lt;22,1,(1+Assumptions!$B$26)^(INT((A54-22)/12)+1))</f>
        <v>1.061208</v>
      </c>
    </row>
    <row r="55" customFormat="false" ht="15" hidden="false" customHeight="true" outlineLevel="0" collapsed="false">
      <c r="A55" s="279" t="n">
        <v>54</v>
      </c>
      <c r="B55" s="284" t="n">
        <f aca="false">IF(A55&lt;22,1,(1+Assumptions!$B$26)^(INT((A55-22)/12)+1))</f>
        <v>1.061208</v>
      </c>
    </row>
    <row r="56" customFormat="false" ht="15" hidden="false" customHeight="true" outlineLevel="0" collapsed="false">
      <c r="A56" s="279" t="n">
        <v>55</v>
      </c>
      <c r="B56" s="284" t="n">
        <f aca="false">IF(A56&lt;22,1,(1+Assumptions!$B$26)^(INT((A56-22)/12)+1))</f>
        <v>1.061208</v>
      </c>
    </row>
    <row r="57" customFormat="false" ht="15" hidden="false" customHeight="true" outlineLevel="0" collapsed="false">
      <c r="A57" s="279" t="n">
        <v>56</v>
      </c>
      <c r="B57" s="284" t="n">
        <f aca="false">IF(A57&lt;22,1,(1+Assumptions!$B$26)^(INT((A57-22)/12)+1))</f>
        <v>1.061208</v>
      </c>
    </row>
    <row r="58" customFormat="false" ht="15" hidden="false" customHeight="true" outlineLevel="0" collapsed="false">
      <c r="A58" s="279" t="n">
        <v>57</v>
      </c>
      <c r="B58" s="284" t="n">
        <f aca="false">IF(A58&lt;22,1,(1+Assumptions!$B$26)^(INT((A58-22)/12)+1))</f>
        <v>1.061208</v>
      </c>
    </row>
    <row r="59" customFormat="false" ht="15" hidden="false" customHeight="true" outlineLevel="0" collapsed="false">
      <c r="A59" s="279" t="n">
        <v>58</v>
      </c>
      <c r="B59" s="284" t="n">
        <f aca="false">IF(A59&lt;22,1,(1+Assumptions!$B$26)^(INT((A59-22)/12)+1))</f>
        <v>1.08243216</v>
      </c>
    </row>
    <row r="60" customFormat="false" ht="15" hidden="false" customHeight="true" outlineLevel="0" collapsed="false">
      <c r="A60" s="279" t="n">
        <v>59</v>
      </c>
      <c r="B60" s="284" t="n">
        <f aca="false">IF(A60&lt;22,1,(1+Assumptions!$B$26)^(INT((A60-22)/12)+1))</f>
        <v>1.08243216</v>
      </c>
    </row>
    <row r="61" customFormat="false" ht="15" hidden="false" customHeight="true" outlineLevel="0" collapsed="false">
      <c r="A61" s="279" t="n">
        <v>60</v>
      </c>
      <c r="B61" s="284" t="n">
        <f aca="false">IF(A61&lt;22,1,(1+Assumptions!$B$26)^(INT((A61-22)/12)+1))</f>
        <v>1.08243216</v>
      </c>
    </row>
    <row r="62" customFormat="false" ht="15" hidden="false" customHeight="true" outlineLevel="0" collapsed="false">
      <c r="A62" s="279" t="n">
        <v>61</v>
      </c>
      <c r="B62" s="284" t="n">
        <f aca="false">IF(A62&lt;22,1,(1+Assumptions!$B$26)^(INT((A62-22)/12)+1))</f>
        <v>1.08243216</v>
      </c>
    </row>
    <row r="63" customFormat="false" ht="15" hidden="false" customHeight="true" outlineLevel="0" collapsed="false">
      <c r="A63" s="279" t="n">
        <v>62</v>
      </c>
      <c r="B63" s="284" t="n">
        <f aca="false">IF(A63&lt;22,1,(1+Assumptions!$B$26)^(INT((A63-22)/12)+1))</f>
        <v>1.08243216</v>
      </c>
    </row>
    <row r="64" customFormat="false" ht="15" hidden="false" customHeight="true" outlineLevel="0" collapsed="false">
      <c r="A64" s="279" t="n">
        <v>63</v>
      </c>
      <c r="B64" s="284" t="n">
        <f aca="false">IF(A64&lt;22,1,(1+Assumptions!$B$26)^(INT((A64-22)/12)+1))</f>
        <v>1.08243216</v>
      </c>
    </row>
    <row r="65" customFormat="false" ht="15" hidden="false" customHeight="true" outlineLevel="0" collapsed="false">
      <c r="A65" s="279" t="n">
        <v>64</v>
      </c>
      <c r="B65" s="284" t="n">
        <f aca="false">IF(A65&lt;22,1,(1+Assumptions!$B$26)^(INT((A65-22)/12)+1))</f>
        <v>1.08243216</v>
      </c>
    </row>
    <row r="66" customFormat="false" ht="15" hidden="false" customHeight="true" outlineLevel="0" collapsed="false">
      <c r="A66" s="279" t="n">
        <v>65</v>
      </c>
      <c r="B66" s="284" t="n">
        <f aca="false">IF(A66&lt;22,1,(1+Assumptions!$B$26)^(INT((A66-22)/12)+1))</f>
        <v>1.08243216</v>
      </c>
    </row>
    <row r="67" customFormat="false" ht="15" hidden="false" customHeight="true" outlineLevel="0" collapsed="false">
      <c r="A67" s="279" t="n">
        <v>66</v>
      </c>
      <c r="B67" s="284" t="n">
        <f aca="false">IF(A67&lt;22,1,(1+Assumptions!$B$26)^(INT((A67-22)/12)+1))</f>
        <v>1.08243216</v>
      </c>
    </row>
    <row r="68" customFormat="false" ht="15" hidden="false" customHeight="true" outlineLevel="0" collapsed="false">
      <c r="A68" s="279" t="n">
        <v>67</v>
      </c>
      <c r="B68" s="284" t="n">
        <f aca="false">IF(A68&lt;22,1,(1+Assumptions!$B$26)^(INT((A68-22)/12)+1))</f>
        <v>1.08243216</v>
      </c>
    </row>
    <row r="69" customFormat="false" ht="15" hidden="false" customHeight="true" outlineLevel="0" collapsed="false">
      <c r="A69" s="279" t="n">
        <v>68</v>
      </c>
      <c r="B69" s="284" t="n">
        <f aca="false">IF(A69&lt;22,1,(1+Assumptions!$B$26)^(INT((A69-22)/12)+1))</f>
        <v>1.08243216</v>
      </c>
    </row>
    <row r="70" customFormat="false" ht="15" hidden="false" customHeight="true" outlineLevel="0" collapsed="false">
      <c r="A70" s="279" t="n">
        <v>69</v>
      </c>
      <c r="B70" s="284" t="n">
        <f aca="false">IF(A70&lt;22,1,(1+Assumptions!$B$26)^(INT((A70-22)/12)+1))</f>
        <v>1.08243216</v>
      </c>
    </row>
    <row r="71" customFormat="false" ht="15" hidden="false" customHeight="true" outlineLevel="0" collapsed="false">
      <c r="A71" s="279" t="n">
        <v>70</v>
      </c>
      <c r="B71" s="284" t="n">
        <f aca="false">IF(A71&lt;22,1,(1+Assumptions!$B$26)^(INT((A71-22)/12)+1))</f>
        <v>1.1040808032</v>
      </c>
    </row>
    <row r="72" customFormat="false" ht="15" hidden="false" customHeight="true" outlineLevel="0" collapsed="false">
      <c r="A72" s="279" t="n">
        <v>71</v>
      </c>
      <c r="B72" s="284" t="n">
        <f aca="false">IF(A72&lt;22,1,(1+Assumptions!$B$26)^(INT((A72-22)/12)+1))</f>
        <v>1.1040808032</v>
      </c>
    </row>
    <row r="73" customFormat="false" ht="15" hidden="false" customHeight="true" outlineLevel="0" collapsed="false">
      <c r="A73" s="279" t="n">
        <v>72</v>
      </c>
      <c r="B73" s="284" t="n">
        <f aca="false">IF(A73&lt;22,1,(1+Assumptions!$B$26)^(INT((A73-22)/12)+1))</f>
        <v>1.1040808032</v>
      </c>
    </row>
    <row r="74" customFormat="false" ht="15" hidden="false" customHeight="true" outlineLevel="0" collapsed="false">
      <c r="A74" s="279" t="n">
        <v>73</v>
      </c>
      <c r="B74" s="284" t="n">
        <f aca="false">IF(A74&lt;22,1,(1+Assumptions!$B$26)^(INT((A74-22)/12)+1))</f>
        <v>1.1040808032</v>
      </c>
    </row>
    <row r="75" customFormat="false" ht="15" hidden="false" customHeight="true" outlineLevel="0" collapsed="false">
      <c r="A75" s="279" t="n">
        <v>74</v>
      </c>
      <c r="B75" s="284" t="n">
        <f aca="false">IF(A75&lt;22,1,(1+Assumptions!$B$26)^(INT((A75-22)/12)+1))</f>
        <v>1.1040808032</v>
      </c>
    </row>
    <row r="76" customFormat="false" ht="15" hidden="false" customHeight="true" outlineLevel="0" collapsed="false">
      <c r="A76" s="279" t="n">
        <v>75</v>
      </c>
      <c r="B76" s="284" t="n">
        <f aca="false">IF(A76&lt;22,1,(1+Assumptions!$B$26)^(INT((A76-22)/12)+1))</f>
        <v>1.1040808032</v>
      </c>
    </row>
    <row r="77" customFormat="false" ht="15" hidden="false" customHeight="true" outlineLevel="0" collapsed="false">
      <c r="A77" s="279" t="n">
        <v>76</v>
      </c>
      <c r="B77" s="284" t="n">
        <f aca="false">IF(A77&lt;22,1,(1+Assumptions!$B$26)^(INT((A77-22)/12)+1))</f>
        <v>1.1040808032</v>
      </c>
    </row>
    <row r="78" customFormat="false" ht="15" hidden="false" customHeight="true" outlineLevel="0" collapsed="false">
      <c r="A78" s="279" t="n">
        <v>77</v>
      </c>
      <c r="B78" s="284" t="n">
        <f aca="false">IF(A78&lt;22,1,(1+Assumptions!$B$26)^(INT((A78-22)/12)+1))</f>
        <v>1.1040808032</v>
      </c>
    </row>
    <row r="79" customFormat="false" ht="15" hidden="false" customHeight="true" outlineLevel="0" collapsed="false">
      <c r="A79" s="279" t="n">
        <v>78</v>
      </c>
      <c r="B79" s="284" t="n">
        <f aca="false">IF(A79&lt;22,1,(1+Assumptions!$B$26)^(INT((A79-22)/12)+1))</f>
        <v>1.1040808032</v>
      </c>
    </row>
    <row r="80" customFormat="false" ht="15" hidden="false" customHeight="true" outlineLevel="0" collapsed="false">
      <c r="A80" s="279" t="n">
        <v>79</v>
      </c>
      <c r="B80" s="284" t="n">
        <f aca="false">IF(A80&lt;22,1,(1+Assumptions!$B$26)^(INT((A80-22)/12)+1))</f>
        <v>1.1040808032</v>
      </c>
    </row>
    <row r="81" customFormat="false" ht="15" hidden="false" customHeight="true" outlineLevel="0" collapsed="false">
      <c r="A81" s="279" t="n">
        <v>80</v>
      </c>
      <c r="B81" s="284" t="n">
        <f aca="false">IF(A81&lt;22,1,(1+Assumptions!$B$26)^(INT((A81-22)/12)+1))</f>
        <v>1.1040808032</v>
      </c>
    </row>
    <row r="82" customFormat="false" ht="15" hidden="false" customHeight="true" outlineLevel="0" collapsed="false">
      <c r="A82" s="279" t="n">
        <v>81</v>
      </c>
      <c r="B82" s="284" t="n">
        <f aca="false">IF(A82&lt;22,1,(1+Assumptions!$B$26)^(INT((A82-22)/12)+1))</f>
        <v>1.1040808032</v>
      </c>
    </row>
    <row r="83" customFormat="false" ht="15" hidden="false" customHeight="true" outlineLevel="0" collapsed="false">
      <c r="A83" s="279" t="n">
        <v>82</v>
      </c>
      <c r="B83" s="284" t="n">
        <f aca="false">IF(A83&lt;22,1,(1+Assumptions!$B$26)^(INT((A83-22)/12)+1))</f>
        <v>1.126162419264</v>
      </c>
    </row>
    <row r="84" customFormat="false" ht="15" hidden="false" customHeight="true" outlineLevel="0" collapsed="false">
      <c r="A84" s="279" t="n">
        <v>83</v>
      </c>
      <c r="B84" s="284" t="n">
        <f aca="false">IF(A84&lt;22,1,(1+Assumptions!$B$26)^(INT((A84-22)/12)+1))</f>
        <v>1.126162419264</v>
      </c>
    </row>
    <row r="85" customFormat="false" ht="15" hidden="false" customHeight="true" outlineLevel="0" collapsed="false">
      <c r="A85" s="279" t="n">
        <v>84</v>
      </c>
      <c r="B85" s="284" t="n">
        <f aca="false">IF(A85&lt;22,1,(1+Assumptions!$B$26)^(INT((A85-22)/12)+1))</f>
        <v>1.126162419264</v>
      </c>
    </row>
    <row r="86" customFormat="false" ht="15" hidden="false" customHeight="true" outlineLevel="0" collapsed="false">
      <c r="A86" s="1" t="n">
        <v>85</v>
      </c>
      <c r="B86" s="1" t="n">
        <f aca="false">IF(A86&lt;22,1,(1+Assumptions!$B$26)^(INT((A86-22)/12)+1))</f>
        <v>1.126162419264</v>
      </c>
    </row>
    <row r="87" customFormat="false" ht="15" hidden="false" customHeight="true" outlineLevel="0" collapsed="false">
      <c r="A87" s="1" t="n">
        <v>86</v>
      </c>
      <c r="B87" s="1" t="n">
        <f aca="false">IF(A87&lt;22,1,(1+Assumptions!$B$26)^(INT((A87-22)/12)+1))</f>
        <v>1.126162419264</v>
      </c>
    </row>
    <row r="88" customFormat="false" ht="15" hidden="false" customHeight="true" outlineLevel="0" collapsed="false">
      <c r="A88" s="1" t="n">
        <v>87</v>
      </c>
      <c r="B88" s="1" t="n">
        <f aca="false">IF(A88&lt;22,1,(1+Assumptions!$B$26)^(INT((A88-22)/12)+1))</f>
        <v>1.126162419264</v>
      </c>
    </row>
    <row r="89" customFormat="false" ht="15" hidden="false" customHeight="true" outlineLevel="0" collapsed="false">
      <c r="A89" s="1" t="n">
        <v>88</v>
      </c>
      <c r="B89" s="1" t="n">
        <f aca="false">IF(A89&lt;22,1,(1+Assumptions!$B$26)^(INT((A89-22)/12)+1))</f>
        <v>1.126162419264</v>
      </c>
    </row>
    <row r="90" customFormat="false" ht="15" hidden="false" customHeight="true" outlineLevel="0" collapsed="false">
      <c r="A90" s="1" t="n">
        <v>89</v>
      </c>
      <c r="B90" s="1" t="n">
        <f aca="false">IF(A90&lt;22,1,(1+Assumptions!$B$26)^(INT((A90-22)/12)+1))</f>
        <v>1.126162419264</v>
      </c>
    </row>
    <row r="91" customFormat="false" ht="15" hidden="false" customHeight="true" outlineLevel="0" collapsed="false">
      <c r="A91" s="1" t="n">
        <v>90</v>
      </c>
      <c r="B91" s="1" t="n">
        <f aca="false">IF(A91&lt;22,1,(1+Assumptions!$B$26)^(INT((A91-22)/12)+1))</f>
        <v>1.126162419264</v>
      </c>
    </row>
    <row r="92" customFormat="false" ht="15" hidden="false" customHeight="true" outlineLevel="0" collapsed="false">
      <c r="A92" s="1" t="n">
        <v>91</v>
      </c>
      <c r="B92" s="1" t="n">
        <f aca="false">IF(A92&lt;22,1,(1+Assumptions!$B$26)^(INT((A92-22)/12)+1))</f>
        <v>1.126162419264</v>
      </c>
    </row>
    <row r="93" customFormat="false" ht="15" hidden="false" customHeight="true" outlineLevel="0" collapsed="false">
      <c r="A93" s="1" t="n">
        <v>92</v>
      </c>
      <c r="B93" s="1" t="n">
        <f aca="false">IF(A93&lt;22,1,(1+Assumptions!$B$26)^(INT((A93-22)/12)+1))</f>
        <v>1.126162419264</v>
      </c>
    </row>
    <row r="94" customFormat="false" ht="15" hidden="false" customHeight="true" outlineLevel="0" collapsed="false">
      <c r="A94" s="1" t="n">
        <v>93</v>
      </c>
      <c r="B94" s="1" t="n">
        <f aca="false">IF(A94&lt;22,1,(1+Assumptions!$B$26)^(INT((A94-22)/12)+1))</f>
        <v>1.126162419264</v>
      </c>
    </row>
    <row r="95" customFormat="false" ht="15" hidden="false" customHeight="true" outlineLevel="0" collapsed="false">
      <c r="A95" s="1" t="n">
        <v>94</v>
      </c>
      <c r="B95" s="1" t="n">
        <f aca="false">IF(A95&lt;22,1,(1+Assumptions!$B$26)^(INT((A95-22)/12)+1))</f>
        <v>1.14868566764928</v>
      </c>
    </row>
    <row r="96" customFormat="false" ht="15" hidden="false" customHeight="true" outlineLevel="0" collapsed="false">
      <c r="A96" s="1" t="n">
        <v>95</v>
      </c>
      <c r="B96" s="1" t="n">
        <f aca="false">IF(A96&lt;22,1,(1+Assumptions!$B$26)^(INT((A96-22)/12)+1))</f>
        <v>1.14868566764928</v>
      </c>
    </row>
    <row r="97" customFormat="false" ht="15" hidden="false" customHeight="true" outlineLevel="0" collapsed="false">
      <c r="A97" s="1" t="n">
        <v>96</v>
      </c>
      <c r="B97" s="1" t="n">
        <f aca="false">IF(A97&lt;22,1,(1+Assumptions!$B$26)^(INT((A97-22)/12)+1))</f>
        <v>1.14868566764928</v>
      </c>
    </row>
    <row r="98" customFormat="false" ht="15" hidden="false" customHeight="true" outlineLevel="0" collapsed="false">
      <c r="A98" s="1" t="n">
        <v>97</v>
      </c>
      <c r="B98" s="1" t="n">
        <f aca="false">IF(A98&lt;22,1,(1+Assumptions!$B$26)^(INT((A98-22)/12)+1))</f>
        <v>1.14868566764928</v>
      </c>
    </row>
    <row r="99" customFormat="false" ht="15" hidden="false" customHeight="true" outlineLevel="0" collapsed="false">
      <c r="A99" s="1" t="n">
        <v>98</v>
      </c>
      <c r="B99" s="1" t="n">
        <f aca="false">IF(A99&lt;22,1,(1+Assumptions!$B$26)^(INT((A99-22)/12)+1))</f>
        <v>1.14868566764928</v>
      </c>
    </row>
    <row r="100" customFormat="false" ht="15" hidden="false" customHeight="true" outlineLevel="0" collapsed="false">
      <c r="A100" s="1" t="n">
        <v>99</v>
      </c>
      <c r="B100" s="1" t="n">
        <f aca="false">IF(A100&lt;22,1,(1+Assumptions!$B$26)^(INT((A100-22)/12)+1))</f>
        <v>1.14868566764928</v>
      </c>
    </row>
    <row r="101" customFormat="false" ht="15" hidden="false" customHeight="true" outlineLevel="0" collapsed="false">
      <c r="A101" s="1" t="n">
        <v>100</v>
      </c>
      <c r="B101" s="1" t="n">
        <f aca="false">IF(A101&lt;22,1,(1+Assumptions!$B$26)^(INT((A101-22)/12)+1))</f>
        <v>1.14868566764928</v>
      </c>
    </row>
    <row r="102" customFormat="false" ht="15" hidden="false" customHeight="true" outlineLevel="0" collapsed="false">
      <c r="A102" s="1" t="n">
        <v>101</v>
      </c>
      <c r="B102" s="1" t="n">
        <f aca="false">IF(A102&lt;22,1,(1+Assumptions!$B$26)^(INT((A102-22)/12)+1))</f>
        <v>1.14868566764928</v>
      </c>
    </row>
    <row r="103" customFormat="false" ht="15" hidden="false" customHeight="true" outlineLevel="0" collapsed="false">
      <c r="A103" s="1" t="n">
        <v>102</v>
      </c>
      <c r="B103" s="1" t="n">
        <f aca="false">IF(A103&lt;22,1,(1+Assumptions!$B$26)^(INT((A103-22)/12)+1))</f>
        <v>1.14868566764928</v>
      </c>
    </row>
    <row r="104" customFormat="false" ht="15" hidden="false" customHeight="true" outlineLevel="0" collapsed="false">
      <c r="A104" s="1" t="n">
        <v>103</v>
      </c>
      <c r="B104" s="1" t="n">
        <f aca="false">IF(A104&lt;22,1,(1+Assumptions!$B$26)^(INT((A104-22)/12)+1))</f>
        <v>1.14868566764928</v>
      </c>
    </row>
    <row r="105" customFormat="false" ht="15" hidden="false" customHeight="true" outlineLevel="0" collapsed="false">
      <c r="A105" s="1" t="n">
        <v>104</v>
      </c>
      <c r="B105" s="1" t="n">
        <f aca="false">IF(A105&lt;22,1,(1+Assumptions!$B$26)^(INT((A105-22)/12)+1))</f>
        <v>1.14868566764928</v>
      </c>
    </row>
    <row r="106" customFormat="false" ht="15" hidden="false" customHeight="true" outlineLevel="0" collapsed="false">
      <c r="A106" s="1" t="n">
        <v>105</v>
      </c>
      <c r="B106" s="1" t="n">
        <f aca="false">IF(A106&lt;22,1,(1+Assumptions!$B$26)^(INT((A106-22)/12)+1))</f>
        <v>1.14868566764928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64" t="s">
        <v>1067</v>
      </c>
      <c r="B1" s="264"/>
      <c r="C1" s="264"/>
      <c r="D1" s="26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87" t="s">
        <v>1</v>
      </c>
      <c r="C3" s="279" t="n">
        <v>1</v>
      </c>
      <c r="D3" s="279" t="n">
        <v>2</v>
      </c>
      <c r="E3" s="279" t="n">
        <v>3</v>
      </c>
      <c r="F3" s="279" t="n">
        <v>4</v>
      </c>
      <c r="G3" s="279" t="n">
        <v>5</v>
      </c>
      <c r="H3" s="279" t="n">
        <v>6</v>
      </c>
      <c r="I3" s="279" t="n">
        <v>7</v>
      </c>
      <c r="J3" s="279" t="n">
        <v>8</v>
      </c>
      <c r="K3" s="279" t="n">
        <v>9</v>
      </c>
      <c r="L3" s="279" t="n">
        <v>10</v>
      </c>
      <c r="M3" s="279" t="n">
        <v>11</v>
      </c>
      <c r="N3" s="279" t="n">
        <v>12</v>
      </c>
      <c r="O3" s="279" t="n">
        <v>13</v>
      </c>
      <c r="P3" s="279" t="n">
        <v>14</v>
      </c>
      <c r="Q3" s="279" t="n">
        <v>15</v>
      </c>
      <c r="R3" s="279" t="n">
        <v>16</v>
      </c>
      <c r="S3" s="279" t="n">
        <v>17</v>
      </c>
      <c r="T3" s="279" t="n">
        <v>18</v>
      </c>
      <c r="U3" s="279" t="n">
        <v>19</v>
      </c>
      <c r="V3" s="279" t="n">
        <v>20</v>
      </c>
      <c r="W3" s="279" t="n">
        <v>21</v>
      </c>
      <c r="X3" s="279" t="n">
        <v>22</v>
      </c>
      <c r="Y3" s="279" t="n">
        <v>23</v>
      </c>
      <c r="Z3" s="279" t="n">
        <v>24</v>
      </c>
      <c r="AA3" s="279" t="n">
        <v>25</v>
      </c>
      <c r="AB3" s="279" t="n">
        <v>26</v>
      </c>
      <c r="AC3" s="279" t="n">
        <v>27</v>
      </c>
      <c r="AD3" s="279" t="n">
        <v>28</v>
      </c>
      <c r="AE3" s="279" t="n">
        <v>29</v>
      </c>
      <c r="AF3" s="279" t="n">
        <v>30</v>
      </c>
      <c r="AG3" s="279" t="n">
        <v>31</v>
      </c>
      <c r="AH3" s="279" t="n">
        <v>32</v>
      </c>
      <c r="AI3" s="279" t="n">
        <v>33</v>
      </c>
      <c r="AJ3" s="279" t="n">
        <v>34</v>
      </c>
      <c r="AK3" s="279" t="n">
        <v>35</v>
      </c>
      <c r="AL3" s="279" t="n">
        <v>36</v>
      </c>
      <c r="AM3" s="279" t="n">
        <v>37</v>
      </c>
      <c r="AN3" s="279" t="n">
        <v>38</v>
      </c>
      <c r="AO3" s="279" t="n">
        <v>39</v>
      </c>
      <c r="AP3" s="279" t="n">
        <v>40</v>
      </c>
      <c r="AQ3" s="279" t="n">
        <v>41</v>
      </c>
      <c r="AR3" s="279" t="n">
        <v>42</v>
      </c>
      <c r="AS3" s="279" t="n">
        <v>43</v>
      </c>
      <c r="AT3" s="279" t="n">
        <v>44</v>
      </c>
      <c r="AU3" s="279" t="n">
        <v>45</v>
      </c>
      <c r="AV3" s="279" t="n">
        <v>46</v>
      </c>
      <c r="AW3" s="279" t="n">
        <v>47</v>
      </c>
      <c r="AX3" s="279" t="n">
        <v>48</v>
      </c>
      <c r="AY3" s="279" t="n">
        <v>49</v>
      </c>
      <c r="AZ3" s="279" t="n">
        <v>50</v>
      </c>
      <c r="BA3" s="279" t="n">
        <v>51</v>
      </c>
      <c r="BB3" s="279" t="n">
        <v>52</v>
      </c>
      <c r="BC3" s="279" t="n">
        <v>53</v>
      </c>
      <c r="BD3" s="279" t="n">
        <v>54</v>
      </c>
      <c r="BE3" s="279" t="n">
        <v>55</v>
      </c>
      <c r="BF3" s="279" t="n">
        <v>56</v>
      </c>
      <c r="BG3" s="279" t="n">
        <v>57</v>
      </c>
      <c r="BH3" s="279" t="n">
        <v>58</v>
      </c>
      <c r="BI3" s="279" t="n">
        <v>59</v>
      </c>
      <c r="BJ3" s="279" t="n">
        <v>60</v>
      </c>
      <c r="BK3" s="279" t="n">
        <v>61</v>
      </c>
      <c r="BL3" s="279" t="n">
        <v>62</v>
      </c>
      <c r="BM3" s="279" t="n">
        <v>63</v>
      </c>
      <c r="BN3" s="279" t="n">
        <v>64</v>
      </c>
      <c r="BO3" s="279" t="n">
        <v>65</v>
      </c>
      <c r="BP3" s="279" t="n">
        <v>66</v>
      </c>
      <c r="BQ3" s="279" t="n">
        <v>67</v>
      </c>
      <c r="BR3" s="279" t="n">
        <v>68</v>
      </c>
      <c r="BS3" s="279" t="n">
        <v>69</v>
      </c>
      <c r="BT3" s="279" t="n">
        <v>70</v>
      </c>
      <c r="BU3" s="279" t="n">
        <v>71</v>
      </c>
      <c r="BV3" s="279" t="n">
        <v>72</v>
      </c>
      <c r="BW3" s="279" t="n">
        <v>73</v>
      </c>
      <c r="BX3" s="279" t="n">
        <v>74</v>
      </c>
      <c r="BY3" s="279" t="n">
        <v>75</v>
      </c>
      <c r="BZ3" s="279" t="n">
        <v>76</v>
      </c>
      <c r="CA3" s="279" t="n">
        <v>77</v>
      </c>
      <c r="CB3" s="279" t="n">
        <v>78</v>
      </c>
      <c r="CC3" s="279" t="n">
        <v>79</v>
      </c>
      <c r="CD3" s="279" t="n">
        <v>80</v>
      </c>
      <c r="CE3" s="279" t="n">
        <v>81</v>
      </c>
      <c r="CF3" s="279" t="n">
        <v>82</v>
      </c>
      <c r="CG3" s="279" t="n">
        <v>83</v>
      </c>
      <c r="CH3" s="279" t="n">
        <v>84</v>
      </c>
      <c r="CI3" s="279" t="n">
        <v>84</v>
      </c>
      <c r="CJ3" s="279" t="n">
        <v>84</v>
      </c>
      <c r="CK3" s="279" t="n">
        <v>84</v>
      </c>
      <c r="CL3" s="279" t="n">
        <v>84</v>
      </c>
      <c r="CM3" s="279" t="n">
        <v>84</v>
      </c>
      <c r="CN3" s="279" t="n">
        <v>84</v>
      </c>
      <c r="CO3" s="279" t="n">
        <v>84</v>
      </c>
      <c r="CP3" s="279" t="n">
        <v>84</v>
      </c>
      <c r="CQ3" s="279" t="n">
        <v>84</v>
      </c>
    </row>
    <row r="4" customFormat="false" ht="15" hidden="false" customHeight="true" outlineLevel="0" collapsed="false">
      <c r="A4" s="187" t="s">
        <v>1068</v>
      </c>
      <c r="C4" s="269" t="n">
        <f aca="false">(SUMPRODUCT((Personnel!$O$9:$O$100&lt;&gt;"")*(Personnel!$G$9:$G$100="Yes")*(1&gt;=Personnel!$E$9:$E$100)*((Personnel!$K$9:$K$100="")+(1&lt;=Personnel!$K$9:$K$100)&gt;0)*Personnel!$D$9:$D$100*(1-Personnel!$H$9:$H$100))+Staffing!E81)*Escalation!$B$2</f>
        <v>225047.666666667</v>
      </c>
      <c r="D4" s="269" t="n">
        <f aca="false">(SUMPRODUCT((Personnel!$O$9:$O$100&lt;&gt;"")*(Personnel!$G$9:$G$100="Yes")*(2&gt;=Personnel!$E$9:$E$100)*((Personnel!$K$9:$K$100="")+(2&lt;=Personnel!$K$9:$K$100)&gt;0)*Personnel!$D$9:$D$100*(1-Personnel!$H$9:$H$100))+Staffing!F81)*Escalation!$B$3</f>
        <v>249631</v>
      </c>
      <c r="E4" s="269" t="n">
        <f aca="false">(SUMPRODUCT((Personnel!$O$9:$O$100&lt;&gt;"")*(Personnel!$G$9:$G$100="Yes")*(3&gt;=Personnel!$E$9:$E$100)*((Personnel!$K$9:$K$100="")+(3&lt;=Personnel!$K$9:$K$100)&gt;0)*Personnel!$D$9:$D$100*(1-Personnel!$H$9:$H$100))+Staffing!G81)*Escalation!$B$4</f>
        <v>274631</v>
      </c>
      <c r="F4" s="269" t="n">
        <f aca="false">(SUMPRODUCT((Personnel!$O$9:$O$100&lt;&gt;"")*(Personnel!$G$9:$G$100="Yes")*(4&gt;=Personnel!$E$9:$E$100)*((Personnel!$K$9:$K$100="")+(4&lt;=Personnel!$K$9:$K$100)&gt;0)*Personnel!$D$9:$D$100*(1-Personnel!$H$9:$H$100))+Staffing!H81)*Escalation!$B$5</f>
        <v>288797.666666667</v>
      </c>
      <c r="G4" s="269" t="n">
        <f aca="false">(SUMPRODUCT((Personnel!$O$9:$O$100&lt;&gt;"")*(Personnel!$G$9:$G$100="Yes")*(5&gt;=Personnel!$E$9:$E$100)*((Personnel!$K$9:$K$100="")+(5&lt;=Personnel!$K$9:$K$100)&gt;0)*Personnel!$D$9:$D$100*(1-Personnel!$H$9:$H$100))+Staffing!I81)*Escalation!$B$6</f>
        <v>290047.666666667</v>
      </c>
      <c r="H4" s="269" t="n">
        <f aca="false">(SUMPRODUCT((Personnel!$O$9:$O$100&lt;&gt;"")*(Personnel!$G$9:$G$100="Yes")*(6&gt;=Personnel!$E$9:$E$100)*((Personnel!$K$9:$K$100="")+(6&lt;=Personnel!$K$9:$K$100)&gt;0)*Personnel!$D$9:$D$100*(1-Personnel!$H$9:$H$100))+Staffing!J81)*Escalation!$B$7</f>
        <v>313797.666666667</v>
      </c>
      <c r="I4" s="269" t="n">
        <f aca="false">(SUMPRODUCT((Personnel!$O$9:$O$100&lt;&gt;"")*(Personnel!$G$9:$G$100="Yes")*(7&gt;=Personnel!$E$9:$E$100)*((Personnel!$K$9:$K$100="")+(7&lt;=Personnel!$K$9:$K$100)&gt;0)*Personnel!$D$9:$D$100*(1-Personnel!$H$9:$H$100))+Staffing!K81)*Escalation!$B$8</f>
        <v>322131</v>
      </c>
      <c r="J4" s="269" t="n">
        <f aca="false">(SUMPRODUCT((Personnel!$O$9:$O$100&lt;&gt;"")*(Personnel!$G$9:$G$100="Yes")*(8&gt;=Personnel!$E$9:$E$100)*((Personnel!$K$9:$K$100="")+(8&lt;=Personnel!$K$9:$K$100)&gt;0)*Personnel!$D$9:$D$100*(1-Personnel!$H$9:$H$100))+Staffing!L81)*Escalation!$B$9</f>
        <v>322131</v>
      </c>
      <c r="K4" s="269" t="n">
        <f aca="false">(SUMPRODUCT((Personnel!$O$9:$O$100&lt;&gt;"")*(Personnel!$G$9:$G$100="Yes")*(9&gt;=Personnel!$E$9:$E$100)*((Personnel!$K$9:$K$100="")+(9&lt;=Personnel!$K$9:$K$100)&gt;0)*Personnel!$D$9:$D$100*(1-Personnel!$H$9:$H$100))+Staffing!M81)*Escalation!$B$10</f>
        <v>335464.333333333</v>
      </c>
      <c r="L4" s="269" t="n">
        <f aca="false">(SUMPRODUCT((Personnel!$O$9:$O$100&lt;&gt;"")*(Personnel!$G$9:$G$100="Yes")*(10&gt;=Personnel!$E$9:$E$100)*((Personnel!$K$9:$K$100="")+(10&lt;=Personnel!$K$9:$K$100)&gt;0)*Personnel!$D$9:$D$100*(1-Personnel!$H$9:$H$100))+Staffing!N81)*Escalation!$B$11</f>
        <v>325672.666666667</v>
      </c>
      <c r="M4" s="269" t="n">
        <f aca="false">(SUMPRODUCT((Personnel!$O$9:$O$100&lt;&gt;"")*(Personnel!$G$9:$G$100="Yes")*(11&gt;=Personnel!$E$9:$E$100)*((Personnel!$K$9:$K$100="")+(11&lt;=Personnel!$K$9:$K$100)&gt;0)*Personnel!$D$9:$D$100*(1-Personnel!$H$9:$H$100))+Staffing!O81)*Escalation!$B$12</f>
        <v>336089.333333333</v>
      </c>
      <c r="N4" s="269" t="n">
        <f aca="false">(SUMPRODUCT((Personnel!$O$9:$O$100&lt;&gt;"")*(Personnel!$G$9:$G$100="Yes")*(12&gt;=Personnel!$E$9:$E$100)*((Personnel!$K$9:$K$100="")+(12&lt;=Personnel!$K$9:$K$100)&gt;0)*Personnel!$D$9:$D$100*(1-Personnel!$H$9:$H$100))+Staffing!P81)*Escalation!$B$13</f>
        <v>336089.333333333</v>
      </c>
      <c r="O4" s="269" t="n">
        <f aca="false">(SUMPRODUCT((Personnel!$O$9:$O$100&lt;&gt;"")*(Personnel!$G$9:$G$100="Yes")*(13&gt;=Personnel!$E$9:$E$100)*((Personnel!$K$9:$K$100="")+(13&lt;=Personnel!$K$9:$K$100)&gt;0)*Personnel!$D$9:$D$100*(1-Personnel!$H$9:$H$100))+Staffing!Q81)*Escalation!$B$14</f>
        <v>336089.333333333</v>
      </c>
      <c r="P4" s="269" t="n">
        <f aca="false">(SUMPRODUCT((Personnel!$O$9:$O$100&lt;&gt;"")*(Personnel!$G$9:$G$100="Yes")*(14&gt;=Personnel!$E$9:$E$100)*((Personnel!$K$9:$K$100="")+(14&lt;=Personnel!$K$9:$K$100)&gt;0)*Personnel!$D$9:$D$100*(1-Personnel!$H$9:$H$100))+Staffing!R81)*Escalation!$B$15</f>
        <v>336089.333333333</v>
      </c>
      <c r="Q4" s="269" t="n">
        <f aca="false">(SUMPRODUCT((Personnel!$O$9:$O$100&lt;&gt;"")*(Personnel!$G$9:$G$100="Yes")*(15&gt;=Personnel!$E$9:$E$100)*((Personnel!$K$9:$K$100="")+(15&lt;=Personnel!$K$9:$K$100)&gt;0)*Personnel!$D$9:$D$100*(1-Personnel!$H$9:$H$100))+Staffing!S81)*Escalation!$B$16</f>
        <v>384006</v>
      </c>
      <c r="R4" s="269" t="n">
        <f aca="false">(SUMPRODUCT((Personnel!$O$9:$O$100&lt;&gt;"")*(Personnel!$G$9:$G$100="Yes")*(16&gt;=Personnel!$E$9:$E$100)*((Personnel!$K$9:$K$100="")+(16&lt;=Personnel!$K$9:$K$100)&gt;0)*Personnel!$D$9:$D$100*(1-Personnel!$H$9:$H$100))+Staffing!T81)*Escalation!$B$17</f>
        <v>384006</v>
      </c>
      <c r="S4" s="269" t="n">
        <f aca="false">(SUMPRODUCT((Personnel!$O$9:$O$100&lt;&gt;"")*(Personnel!$G$9:$G$100="Yes")*(17&gt;=Personnel!$E$9:$E$100)*((Personnel!$K$9:$K$100="")+(17&lt;=Personnel!$K$9:$K$100)&gt;0)*Personnel!$D$9:$D$100*(1-Personnel!$H$9:$H$100))+Staffing!U81)*Escalation!$B$18</f>
        <v>384006</v>
      </c>
      <c r="T4" s="269" t="n">
        <f aca="false">(SUMPRODUCT((Personnel!$O$9:$O$100&lt;&gt;"")*(Personnel!$G$9:$G$100="Yes")*(18&gt;=Personnel!$E$9:$E$100)*((Personnel!$K$9:$K$100="")+(18&lt;=Personnel!$K$9:$K$100)&gt;0)*Personnel!$D$9:$D$100*(1-Personnel!$H$9:$H$100))+Staffing!V81)*Escalation!$B$19</f>
        <v>384006</v>
      </c>
      <c r="U4" s="269" t="n">
        <f aca="false">(SUMPRODUCT((Personnel!$O$9:$O$100&lt;&gt;"")*(Personnel!$G$9:$G$100="Yes")*(19&gt;=Personnel!$E$9:$E$100)*((Personnel!$K$9:$K$100="")+(19&lt;=Personnel!$K$9:$K$100)&gt;0)*Personnel!$D$9:$D$100*(1-Personnel!$H$9:$H$100))+Staffing!W81)*Escalation!$B$20</f>
        <v>384006</v>
      </c>
      <c r="V4" s="269" t="n">
        <f aca="false">(SUMPRODUCT((Personnel!$O$9:$O$100&lt;&gt;"")*(Personnel!$G$9:$G$100="Yes")*(20&gt;=Personnel!$E$9:$E$100)*((Personnel!$K$9:$K$100="")+(20&lt;=Personnel!$K$9:$K$100)&gt;0)*Personnel!$D$9:$D$100*(1-Personnel!$H$9:$H$100))+Staffing!X81)*Escalation!$B$21</f>
        <v>384006</v>
      </c>
      <c r="W4" s="269" t="n">
        <f aca="false">(SUMPRODUCT((Personnel!$O$9:$O$100&lt;&gt;"")*(Personnel!$G$9:$G$100="Yes")*(21&gt;=Personnel!$E$9:$E$100)*((Personnel!$K$9:$K$100="")+(21&lt;=Personnel!$K$9:$K$100)&gt;0)*Personnel!$D$9:$D$100*(1-Personnel!$H$9:$H$100))+Staffing!Y81)*Escalation!$B$22</f>
        <v>384006</v>
      </c>
      <c r="X4" s="269" t="n">
        <f aca="false">(SUMPRODUCT((Personnel!$O$9:$O$100&lt;&gt;"")*(Personnel!$G$9:$G$100="Yes")*(22&gt;=Personnel!$E$9:$E$100)*((Personnel!$K$9:$K$100="")+(22&lt;=Personnel!$K$9:$K$100)&gt;0)*Personnel!$D$9:$D$100*(1-Personnel!$H$9:$H$100))+Staffing!Z81)*Escalation!$B$23</f>
        <v>367036.12</v>
      </c>
      <c r="Y4" s="269" t="n">
        <f aca="false">(SUMPRODUCT((Personnel!$O$9:$O$100&lt;&gt;"")*(Personnel!$G$9:$G$100="Yes")*(23&gt;=Personnel!$E$9:$E$100)*((Personnel!$K$9:$K$100="")+(23&lt;=Personnel!$K$9:$K$100)&gt;0)*Personnel!$D$9:$D$100*(1-Personnel!$H$9:$H$100))+Staffing!AA81)*Escalation!$B$24</f>
        <v>367036.12</v>
      </c>
      <c r="Z4" s="269" t="n">
        <f aca="false">(SUMPRODUCT((Personnel!$O$9:$O$100&lt;&gt;"")*(Personnel!$G$9:$G$100="Yes")*(24&gt;=Personnel!$E$9:$E$100)*((Personnel!$K$9:$K$100="")+(24&lt;=Personnel!$K$9:$K$100)&gt;0)*Personnel!$D$9:$D$100*(1-Personnel!$H$9:$H$100))+Staffing!AB81)*Escalation!$B$25</f>
        <v>342811.12</v>
      </c>
      <c r="AA4" s="269" t="n">
        <f aca="false">(SUMPRODUCT((Personnel!$O$9:$O$100&lt;&gt;"")*(Personnel!$G$9:$G$100="Yes")*(25&gt;=Personnel!$E$9:$E$100)*((Personnel!$K$9:$K$100="")+(25&lt;=Personnel!$K$9:$K$100)&gt;0)*Personnel!$D$9:$D$100*(1-Personnel!$H$9:$H$100))+Staffing!AC81)*Escalation!$B$26</f>
        <v>342811.12</v>
      </c>
      <c r="AB4" s="269" t="n">
        <f aca="false">(SUMPRODUCT((Personnel!$O$9:$O$100&lt;&gt;"")*(Personnel!$G$9:$G$100="Yes")*(26&gt;=Personnel!$E$9:$E$100)*((Personnel!$K$9:$K$100="")+(26&lt;=Personnel!$K$9:$K$100)&gt;0)*Personnel!$D$9:$D$100*(1-Personnel!$H$9:$H$100))+Staffing!AD81)*Escalation!$B$27</f>
        <v>318586.12</v>
      </c>
      <c r="AC4" s="269" t="n">
        <f aca="false">(SUMPRODUCT((Personnel!$O$9:$O$100&lt;&gt;"")*(Personnel!$G$9:$G$100="Yes")*(27&gt;=Personnel!$E$9:$E$100)*((Personnel!$K$9:$K$100="")+(27&lt;=Personnel!$K$9:$K$100)&gt;0)*Personnel!$D$9:$D$100*(1-Personnel!$H$9:$H$100))+Staffing!AE81)*Escalation!$B$28</f>
        <v>318586.12</v>
      </c>
      <c r="AD4" s="269" t="n">
        <f aca="false">(SUMPRODUCT((Personnel!$O$9:$O$100&lt;&gt;"")*(Personnel!$G$9:$G$100="Yes")*(28&gt;=Personnel!$E$9:$E$100)*((Personnel!$K$9:$K$100="")+(28&lt;=Personnel!$K$9:$K$100)&gt;0)*Personnel!$D$9:$D$100*(1-Personnel!$H$9:$H$100))+Staffing!AF81)*Escalation!$B$29</f>
        <v>318586.12</v>
      </c>
      <c r="AE4" s="269" t="n">
        <f aca="false">(SUMPRODUCT((Personnel!$O$9:$O$100&lt;&gt;"")*(Personnel!$G$9:$G$100="Yes")*(29&gt;=Personnel!$E$9:$E$100)*((Personnel!$K$9:$K$100="")+(29&lt;=Personnel!$K$9:$K$100)&gt;0)*Personnel!$D$9:$D$100*(1-Personnel!$H$9:$H$100))+Staffing!AG81)*Escalation!$B$30</f>
        <v>318586.12</v>
      </c>
      <c r="AF4" s="269" t="n">
        <f aca="false">(SUMPRODUCT((Personnel!$O$9:$O$100&lt;&gt;"")*(Personnel!$G$9:$G$100="Yes")*(30&gt;=Personnel!$E$9:$E$100)*((Personnel!$K$9:$K$100="")+(30&lt;=Personnel!$K$9:$K$100)&gt;0)*Personnel!$D$9:$D$100*(1-Personnel!$H$9:$H$100))+Staffing!AH81)*Escalation!$B$31</f>
        <v>318586.12</v>
      </c>
      <c r="AG4" s="269" t="n">
        <f aca="false">(SUMPRODUCT((Personnel!$O$9:$O$100&lt;&gt;"")*(Personnel!$G$9:$G$100="Yes")*(31&gt;=Personnel!$E$9:$E$100)*((Personnel!$K$9:$K$100="")+(31&lt;=Personnel!$K$9:$K$100)&gt;0)*Personnel!$D$9:$D$100*(1-Personnel!$H$9:$H$100))+Staffing!AI81)*Escalation!$B$32</f>
        <v>318586.12</v>
      </c>
      <c r="AH4" s="269" t="n">
        <f aca="false">(SUMPRODUCT((Personnel!$O$9:$O$100&lt;&gt;"")*(Personnel!$G$9:$G$100="Yes")*(32&gt;=Personnel!$E$9:$E$100)*((Personnel!$K$9:$K$100="")+(32&lt;=Personnel!$K$9:$K$100)&gt;0)*Personnel!$D$9:$D$100*(1-Personnel!$H$9:$H$100))+Staffing!AJ81)*Escalation!$B$33</f>
        <v>318586.12</v>
      </c>
      <c r="AI4" s="269" t="n">
        <f aca="false">(SUMPRODUCT((Personnel!$O$9:$O$100&lt;&gt;"")*(Personnel!$G$9:$G$100="Yes")*(33&gt;=Personnel!$E$9:$E$100)*((Personnel!$K$9:$K$100="")+(33&lt;=Personnel!$K$9:$K$100)&gt;0)*Personnel!$D$9:$D$100*(1-Personnel!$H$9:$H$100))+Staffing!AK81)*Escalation!$B$34</f>
        <v>318586.12</v>
      </c>
      <c r="AJ4" s="269" t="n">
        <f aca="false">(SUMPRODUCT((Personnel!$O$9:$O$100&lt;&gt;"")*(Personnel!$G$9:$G$100="Yes")*(34&gt;=Personnel!$E$9:$E$100)*((Personnel!$K$9:$K$100="")+(34&lt;=Personnel!$K$9:$K$100)&gt;0)*Personnel!$D$9:$D$100*(1-Personnel!$H$9:$H$100))+Staffing!AL81)*Escalation!$B$35</f>
        <v>324957.8424</v>
      </c>
      <c r="AK4" s="269" t="n">
        <f aca="false">(SUMPRODUCT((Personnel!$O$9:$O$100&lt;&gt;"")*(Personnel!$G$9:$G$100="Yes")*(35&gt;=Personnel!$E$9:$E$100)*((Personnel!$K$9:$K$100="")+(35&lt;=Personnel!$K$9:$K$100)&gt;0)*Personnel!$D$9:$D$100*(1-Personnel!$H$9:$H$100))+Staffing!AM81)*Escalation!$B$36</f>
        <v>324957.8424</v>
      </c>
      <c r="AL4" s="269" t="n">
        <f aca="false">(SUMPRODUCT((Personnel!$O$9:$O$100&lt;&gt;"")*(Personnel!$G$9:$G$100="Yes")*(36&gt;=Personnel!$E$9:$E$100)*((Personnel!$K$9:$K$100="")+(36&lt;=Personnel!$K$9:$K$100)&gt;0)*Personnel!$D$9:$D$100*(1-Personnel!$H$9:$H$100))+Staffing!AN81)*Escalation!$B$37</f>
        <v>324957.8424</v>
      </c>
      <c r="AM4" s="269" t="n">
        <f aca="false">(SUMPRODUCT((Personnel!$O$9:$O$100&lt;&gt;"")*(Personnel!$G$9:$G$100="Yes")*(37&gt;=Personnel!$E$9:$E$100)*((Personnel!$K$9:$K$100="")+(37&lt;=Personnel!$K$9:$K$100)&gt;0)*Personnel!$D$9:$D$100*(1-Personnel!$H$9:$H$100))+Staffing!AO81)*Escalation!$B$38</f>
        <v>324957.8424</v>
      </c>
      <c r="AN4" s="269" t="n">
        <f aca="false">(SUMPRODUCT((Personnel!$O$9:$O$100&lt;&gt;"")*(Personnel!$G$9:$G$100="Yes")*(38&gt;=Personnel!$E$9:$E$100)*((Personnel!$K$9:$K$100="")+(38&lt;=Personnel!$K$9:$K$100)&gt;0)*Personnel!$D$9:$D$100*(1-Personnel!$H$9:$H$100))+Staffing!AP81)*Escalation!$B$39</f>
        <v>324957.8424</v>
      </c>
      <c r="AO4" s="269" t="n">
        <f aca="false">(SUMPRODUCT((Personnel!$O$9:$O$100&lt;&gt;"")*(Personnel!$G$9:$G$100="Yes")*(39&gt;=Personnel!$E$9:$E$100)*((Personnel!$K$9:$K$100="")+(39&lt;=Personnel!$K$9:$K$100)&gt;0)*Personnel!$D$9:$D$100*(1-Personnel!$H$9:$H$100))+Staffing!AQ81)*Escalation!$B$40</f>
        <v>324957.8424</v>
      </c>
      <c r="AP4" s="269" t="n">
        <f aca="false">(SUMPRODUCT((Personnel!$O$9:$O$100&lt;&gt;"")*(Personnel!$G$9:$G$100="Yes")*(40&gt;=Personnel!$E$9:$E$100)*((Personnel!$K$9:$K$100="")+(40&lt;=Personnel!$K$9:$K$100)&gt;0)*Personnel!$D$9:$D$100*(1-Personnel!$H$9:$H$100))+Staffing!AR81)*Escalation!$B$41</f>
        <v>324957.8424</v>
      </c>
      <c r="AQ4" s="269" t="n">
        <f aca="false">(SUMPRODUCT((Personnel!$O$9:$O$100&lt;&gt;"")*(Personnel!$G$9:$G$100="Yes")*(41&gt;=Personnel!$E$9:$E$100)*((Personnel!$K$9:$K$100="")+(41&lt;=Personnel!$K$9:$K$100)&gt;0)*Personnel!$D$9:$D$100*(1-Personnel!$H$9:$H$100))+Staffing!AS81)*Escalation!$B$42</f>
        <v>324957.8424</v>
      </c>
      <c r="AR4" s="269" t="n">
        <f aca="false">(SUMPRODUCT((Personnel!$O$9:$O$100&lt;&gt;"")*(Personnel!$G$9:$G$100="Yes")*(42&gt;=Personnel!$E$9:$E$100)*((Personnel!$K$9:$K$100="")+(42&lt;=Personnel!$K$9:$K$100)&gt;0)*Personnel!$D$9:$D$100*(1-Personnel!$H$9:$H$100))+Staffing!AT81)*Escalation!$B$43</f>
        <v>324957.8424</v>
      </c>
      <c r="AS4" s="269" t="n">
        <f aca="false">(SUMPRODUCT((Personnel!$O$9:$O$100&lt;&gt;"")*(Personnel!$G$9:$G$100="Yes")*(43&gt;=Personnel!$E$9:$E$100)*((Personnel!$K$9:$K$100="")+(43&lt;=Personnel!$K$9:$K$100)&gt;0)*Personnel!$D$9:$D$100*(1-Personnel!$H$9:$H$100))+Staffing!AU81)*Escalation!$B$44</f>
        <v>324957.8424</v>
      </c>
      <c r="AT4" s="269" t="n">
        <f aca="false">(SUMPRODUCT((Personnel!$O$9:$O$100&lt;&gt;"")*(Personnel!$G$9:$G$100="Yes")*(44&gt;=Personnel!$E$9:$E$100)*((Personnel!$K$9:$K$100="")+(44&lt;=Personnel!$K$9:$K$100)&gt;0)*Personnel!$D$9:$D$100*(1-Personnel!$H$9:$H$100))+Staffing!AV81)*Escalation!$B$45</f>
        <v>324957.8424</v>
      </c>
      <c r="AU4" s="269" t="n">
        <f aca="false">(SUMPRODUCT((Personnel!$O$9:$O$100&lt;&gt;"")*(Personnel!$G$9:$G$100="Yes")*(45&gt;=Personnel!$E$9:$E$100)*((Personnel!$K$9:$K$100="")+(45&lt;=Personnel!$K$9:$K$100)&gt;0)*Personnel!$D$9:$D$100*(1-Personnel!$H$9:$H$100))+Staffing!AW81)*Escalation!$B$46</f>
        <v>324957.8424</v>
      </c>
      <c r="AV4" s="269" t="n">
        <f aca="false">(SUMPRODUCT((Personnel!$O$9:$O$100&lt;&gt;"")*(Personnel!$G$9:$G$100="Yes")*(46&gt;=Personnel!$E$9:$E$100)*((Personnel!$K$9:$K$100="")+(46&lt;=Personnel!$K$9:$K$100)&gt;0)*Personnel!$D$9:$D$100*(1-Personnel!$H$9:$H$100))+Staffing!AX81)*Escalation!$B$47</f>
        <v>331456.999248</v>
      </c>
      <c r="AW4" s="269" t="n">
        <f aca="false">(SUMPRODUCT((Personnel!$O$9:$O$100&lt;&gt;"")*(Personnel!$G$9:$G$100="Yes")*(47&gt;=Personnel!$E$9:$E$100)*((Personnel!$K$9:$K$100="")+(47&lt;=Personnel!$K$9:$K$100)&gt;0)*Personnel!$D$9:$D$100*(1-Personnel!$H$9:$H$100))+Staffing!AY81)*Escalation!$B$48</f>
        <v>331456.999248</v>
      </c>
      <c r="AX4" s="269" t="n">
        <f aca="false">(SUMPRODUCT((Personnel!$O$9:$O$100&lt;&gt;"")*(Personnel!$G$9:$G$100="Yes")*(48&gt;=Personnel!$E$9:$E$100)*((Personnel!$K$9:$K$100="")+(48&lt;=Personnel!$K$9:$K$100)&gt;0)*Personnel!$D$9:$D$100*(1-Personnel!$H$9:$H$100))+Staffing!AZ81)*Escalation!$B$49</f>
        <v>331456.999248</v>
      </c>
      <c r="AY4" s="269" t="n">
        <f aca="false">(SUMPRODUCT((Personnel!$O$9:$O$100&lt;&gt;"")*(Personnel!$G$9:$G$100="Yes")*(49&gt;=Personnel!$E$9:$E$100)*((Personnel!$K$9:$K$100="")+(49&lt;=Personnel!$K$9:$K$100)&gt;0)*Personnel!$D$9:$D$100*(1-Personnel!$H$9:$H$100))+Staffing!BA81)*Escalation!$B$50</f>
        <v>331456.999248</v>
      </c>
      <c r="AZ4" s="269" t="n">
        <f aca="false">(SUMPRODUCT((Personnel!$O$9:$O$100&lt;&gt;"")*(Personnel!$G$9:$G$100="Yes")*(50&gt;=Personnel!$E$9:$E$100)*((Personnel!$K$9:$K$100="")+(50&lt;=Personnel!$K$9:$K$100)&gt;0)*Personnel!$D$9:$D$100*(1-Personnel!$H$9:$H$100))+Staffing!BB81)*Escalation!$B$51</f>
        <v>331456.999248</v>
      </c>
      <c r="BA4" s="269" t="n">
        <f aca="false">(SUMPRODUCT((Personnel!$O$9:$O$100&lt;&gt;"")*(Personnel!$G$9:$G$100="Yes")*(51&gt;=Personnel!$E$9:$E$100)*((Personnel!$K$9:$K$100="")+(51&lt;=Personnel!$K$9:$K$100)&gt;0)*Personnel!$D$9:$D$100*(1-Personnel!$H$9:$H$100))+Staffing!BC81)*Escalation!$B$52</f>
        <v>331456.999248</v>
      </c>
      <c r="BB4" s="269" t="n">
        <f aca="false">(SUMPRODUCT((Personnel!$O$9:$O$100&lt;&gt;"")*(Personnel!$G$9:$G$100="Yes")*(52&gt;=Personnel!$E$9:$E$100)*((Personnel!$K$9:$K$100="")+(52&lt;=Personnel!$K$9:$K$100)&gt;0)*Personnel!$D$9:$D$100*(1-Personnel!$H$9:$H$100))+Staffing!BD81)*Escalation!$B$53</f>
        <v>331456.999248</v>
      </c>
      <c r="BC4" s="269" t="n">
        <f aca="false">(SUMPRODUCT((Personnel!$O$9:$O$100&lt;&gt;"")*(Personnel!$G$9:$G$100="Yes")*(53&gt;=Personnel!$E$9:$E$100)*((Personnel!$K$9:$K$100="")+(53&lt;=Personnel!$K$9:$K$100)&gt;0)*Personnel!$D$9:$D$100*(1-Personnel!$H$9:$H$100))+Staffing!BE81)*Escalation!$B$54</f>
        <v>331456.999248</v>
      </c>
      <c r="BD4" s="269" t="n">
        <f aca="false">(SUMPRODUCT((Personnel!$O$9:$O$100&lt;&gt;"")*(Personnel!$G$9:$G$100="Yes")*(54&gt;=Personnel!$E$9:$E$100)*((Personnel!$K$9:$K$100="")+(54&lt;=Personnel!$K$9:$K$100)&gt;0)*Personnel!$D$9:$D$100*(1-Personnel!$H$9:$H$100))+Staffing!BF81)*Escalation!$B$55</f>
        <v>331456.999248</v>
      </c>
      <c r="BE4" s="269" t="n">
        <f aca="false">(SUMPRODUCT((Personnel!$O$9:$O$100&lt;&gt;"")*(Personnel!$G$9:$G$100="Yes")*(55&gt;=Personnel!$E$9:$E$100)*((Personnel!$K$9:$K$100="")+(55&lt;=Personnel!$K$9:$K$100)&gt;0)*Personnel!$D$9:$D$100*(1-Personnel!$H$9:$H$100))+Staffing!BG81)*Escalation!$B$56</f>
        <v>331456.999248</v>
      </c>
      <c r="BF4" s="269" t="n">
        <f aca="false">(SUMPRODUCT((Personnel!$O$9:$O$100&lt;&gt;"")*(Personnel!$G$9:$G$100="Yes")*(56&gt;=Personnel!$E$9:$E$100)*((Personnel!$K$9:$K$100="")+(56&lt;=Personnel!$K$9:$K$100)&gt;0)*Personnel!$D$9:$D$100*(1-Personnel!$H$9:$H$100))+Staffing!BH81)*Escalation!$B$57</f>
        <v>331456.999248</v>
      </c>
      <c r="BG4" s="269" t="n">
        <f aca="false">(SUMPRODUCT((Personnel!$O$9:$O$100&lt;&gt;"")*(Personnel!$G$9:$G$100="Yes")*(57&gt;=Personnel!$E$9:$E$100)*((Personnel!$K$9:$K$100="")+(57&lt;=Personnel!$K$9:$K$100)&gt;0)*Personnel!$D$9:$D$100*(1-Personnel!$H$9:$H$100))+Staffing!BI81)*Escalation!$B$58</f>
        <v>331456.999248</v>
      </c>
      <c r="BH4" s="269" t="n">
        <f aca="false">(SUMPRODUCT((Personnel!$O$9:$O$100&lt;&gt;"")*(Personnel!$G$9:$G$100="Yes")*(58&gt;=Personnel!$E$9:$E$100)*((Personnel!$K$9:$K$100="")+(58&lt;=Personnel!$K$9:$K$100)&gt;0)*Personnel!$D$9:$D$100*(1-Personnel!$H$9:$H$100))+Staffing!BJ81)*Escalation!$B$59</f>
        <v>338086.13923296</v>
      </c>
      <c r="BI4" s="269" t="n">
        <f aca="false">(SUMPRODUCT((Personnel!$O$9:$O$100&lt;&gt;"")*(Personnel!$G$9:$G$100="Yes")*(59&gt;=Personnel!$E$9:$E$100)*((Personnel!$K$9:$K$100="")+(59&lt;=Personnel!$K$9:$K$100)&gt;0)*Personnel!$D$9:$D$100*(1-Personnel!$H$9:$H$100))+Staffing!BK81)*Escalation!$B$60</f>
        <v>338086.13923296</v>
      </c>
      <c r="BJ4" s="269" t="n">
        <f aca="false">(SUMPRODUCT((Personnel!$O$9:$O$100&lt;&gt;"")*(Personnel!$G$9:$G$100="Yes")*(60&gt;=Personnel!$E$9:$E$100)*((Personnel!$K$9:$K$100="")+(60&lt;=Personnel!$K$9:$K$100)&gt;0)*Personnel!$D$9:$D$100*(1-Personnel!$H$9:$H$100))+Staffing!BL81)*Escalation!$B$61</f>
        <v>338086.13923296</v>
      </c>
      <c r="BK4" s="269" t="n">
        <f aca="false">(SUMPRODUCT((Personnel!$O$9:$O$100&lt;&gt;"")*(Personnel!$G$9:$G$100="Yes")*(61&gt;=Personnel!$E$9:$E$100)*((Personnel!$K$9:$K$100="")+(61&lt;=Personnel!$K$9:$K$100)&gt;0)*Personnel!$D$9:$D$100*(1-Personnel!$H$9:$H$100))+Staffing!BM81)*Escalation!$B$62</f>
        <v>338086.13923296</v>
      </c>
      <c r="BL4" s="269" t="n">
        <f aca="false">(SUMPRODUCT((Personnel!$O$9:$O$100&lt;&gt;"")*(Personnel!$G$9:$G$100="Yes")*(62&gt;=Personnel!$E$9:$E$100)*((Personnel!$K$9:$K$100="")+(62&lt;=Personnel!$K$9:$K$100)&gt;0)*Personnel!$D$9:$D$100*(1-Personnel!$H$9:$H$100))+Staffing!BN81)*Escalation!$B$63</f>
        <v>338086.13923296</v>
      </c>
      <c r="BM4" s="269" t="n">
        <f aca="false">(SUMPRODUCT((Personnel!$O$9:$O$100&lt;&gt;"")*(Personnel!$G$9:$G$100="Yes")*(63&gt;=Personnel!$E$9:$E$100)*((Personnel!$K$9:$K$100="")+(63&lt;=Personnel!$K$9:$K$100)&gt;0)*Personnel!$D$9:$D$100*(1-Personnel!$H$9:$H$100))+Staffing!BO81)*Escalation!$B$64</f>
        <v>338086.13923296</v>
      </c>
      <c r="BN4" s="269" t="n">
        <f aca="false">(SUMPRODUCT((Personnel!$O$9:$O$100&lt;&gt;"")*(Personnel!$G$9:$G$100="Yes")*(64&gt;=Personnel!$E$9:$E$100)*((Personnel!$K$9:$K$100="")+(64&lt;=Personnel!$K$9:$K$100)&gt;0)*Personnel!$D$9:$D$100*(1-Personnel!$H$9:$H$100))+Staffing!BP81)*Escalation!$B$65</f>
        <v>338086.13923296</v>
      </c>
      <c r="BO4" s="269" t="n">
        <f aca="false">(SUMPRODUCT((Personnel!$O$9:$O$100&lt;&gt;"")*(Personnel!$G$9:$G$100="Yes")*(65&gt;=Personnel!$E$9:$E$100)*((Personnel!$K$9:$K$100="")+(65&lt;=Personnel!$K$9:$K$100)&gt;0)*Personnel!$D$9:$D$100*(1-Personnel!$H$9:$H$100))+Staffing!BQ81)*Escalation!$B$66</f>
        <v>338086.13923296</v>
      </c>
      <c r="BP4" s="269" t="n">
        <f aca="false">(SUMPRODUCT((Personnel!$O$9:$O$100&lt;&gt;"")*(Personnel!$G$9:$G$100="Yes")*(66&gt;=Personnel!$E$9:$E$100)*((Personnel!$K$9:$K$100="")+(66&lt;=Personnel!$K$9:$K$100)&gt;0)*Personnel!$D$9:$D$100*(1-Personnel!$H$9:$H$100))+Staffing!BR81)*Escalation!$B$67</f>
        <v>338086.13923296</v>
      </c>
      <c r="BQ4" s="269" t="n">
        <f aca="false">(SUMPRODUCT((Personnel!$O$9:$O$100&lt;&gt;"")*(Personnel!$G$9:$G$100="Yes")*(67&gt;=Personnel!$E$9:$E$100)*((Personnel!$K$9:$K$100="")+(67&lt;=Personnel!$K$9:$K$100)&gt;0)*Personnel!$D$9:$D$100*(1-Personnel!$H$9:$H$100))+Staffing!BS81)*Escalation!$B$68</f>
        <v>338086.13923296</v>
      </c>
      <c r="BR4" s="269" t="n">
        <f aca="false">(SUMPRODUCT((Personnel!$O$9:$O$100&lt;&gt;"")*(Personnel!$G$9:$G$100="Yes")*(68&gt;=Personnel!$E$9:$E$100)*((Personnel!$K$9:$K$100="")+(68&lt;=Personnel!$K$9:$K$100)&gt;0)*Personnel!$D$9:$D$100*(1-Personnel!$H$9:$H$100))+Staffing!BT81)*Escalation!$B$69</f>
        <v>338086.13923296</v>
      </c>
      <c r="BS4" s="269" t="n">
        <f aca="false">(SUMPRODUCT((Personnel!$O$9:$O$100&lt;&gt;"")*(Personnel!$G$9:$G$100="Yes")*(69&gt;=Personnel!$E$9:$E$100)*((Personnel!$K$9:$K$100="")+(69&lt;=Personnel!$K$9:$K$100)&gt;0)*Personnel!$D$9:$D$100*(1-Personnel!$H$9:$H$100))+Staffing!BU81)*Escalation!$B$70</f>
        <v>338086.13923296</v>
      </c>
      <c r="BT4" s="269" t="n">
        <f aca="false">(SUMPRODUCT((Personnel!$O$9:$O$100&lt;&gt;"")*(Personnel!$G$9:$G$100="Yes")*(70&gt;=Personnel!$E$9:$E$100)*((Personnel!$K$9:$K$100="")+(70&lt;=Personnel!$K$9:$K$100)&gt;0)*Personnel!$D$9:$D$100*(1-Personnel!$H$9:$H$100))+Staffing!BV81)*Escalation!$B$71</f>
        <v>344847.862017619</v>
      </c>
      <c r="BU4" s="269" t="n">
        <f aca="false">(SUMPRODUCT((Personnel!$O$9:$O$100&lt;&gt;"")*(Personnel!$G$9:$G$100="Yes")*(71&gt;=Personnel!$E$9:$E$100)*((Personnel!$K$9:$K$100="")+(71&lt;=Personnel!$K$9:$K$100)&gt;0)*Personnel!$D$9:$D$100*(1-Personnel!$H$9:$H$100))+Staffing!BW81)*Escalation!$B$72</f>
        <v>344847.862017619</v>
      </c>
      <c r="BV4" s="269" t="n">
        <f aca="false">(SUMPRODUCT((Personnel!$O$9:$O$100&lt;&gt;"")*(Personnel!$G$9:$G$100="Yes")*(72&gt;=Personnel!$E$9:$E$100)*((Personnel!$K$9:$K$100="")+(72&lt;=Personnel!$K$9:$K$100)&gt;0)*Personnel!$D$9:$D$100*(1-Personnel!$H$9:$H$100))+Staffing!BX81)*Escalation!$B$73</f>
        <v>344847.862017619</v>
      </c>
      <c r="BW4" s="269" t="n">
        <f aca="false">(SUMPRODUCT((Personnel!$O$9:$O$100&lt;&gt;"")*(Personnel!$G$9:$G$100="Yes")*(73&gt;=Personnel!$E$9:$E$100)*((Personnel!$K$9:$K$100="")+(73&lt;=Personnel!$K$9:$K$100)&gt;0)*Personnel!$D$9:$D$100*(1-Personnel!$H$9:$H$100))+Staffing!BY81)*Escalation!$B$74</f>
        <v>344847.862017619</v>
      </c>
      <c r="BX4" s="269" t="n">
        <f aca="false">(SUMPRODUCT((Personnel!$O$9:$O$100&lt;&gt;"")*(Personnel!$G$9:$G$100="Yes")*(74&gt;=Personnel!$E$9:$E$100)*((Personnel!$K$9:$K$100="")+(74&lt;=Personnel!$K$9:$K$100)&gt;0)*Personnel!$D$9:$D$100*(1-Personnel!$H$9:$H$100))+Staffing!BZ81)*Escalation!$B$75</f>
        <v>344847.862017619</v>
      </c>
      <c r="BY4" s="269" t="n">
        <f aca="false">(SUMPRODUCT((Personnel!$O$9:$O$100&lt;&gt;"")*(Personnel!$G$9:$G$100="Yes")*(75&gt;=Personnel!$E$9:$E$100)*((Personnel!$K$9:$K$100="")+(75&lt;=Personnel!$K$9:$K$100)&gt;0)*Personnel!$D$9:$D$100*(1-Personnel!$H$9:$H$100))+Staffing!CA81)*Escalation!$B$76</f>
        <v>344847.862017619</v>
      </c>
      <c r="BZ4" s="269" t="n">
        <f aca="false">(SUMPRODUCT((Personnel!$O$9:$O$100&lt;&gt;"")*(Personnel!$G$9:$G$100="Yes")*(76&gt;=Personnel!$E$9:$E$100)*((Personnel!$K$9:$K$100="")+(76&lt;=Personnel!$K$9:$K$100)&gt;0)*Personnel!$D$9:$D$100*(1-Personnel!$H$9:$H$100))+Staffing!CB81)*Escalation!$B$77</f>
        <v>344847.862017619</v>
      </c>
      <c r="CA4" s="269" t="n">
        <f aca="false">(SUMPRODUCT((Personnel!$O$9:$O$100&lt;&gt;"")*(Personnel!$G$9:$G$100="Yes")*(77&gt;=Personnel!$E$9:$E$100)*((Personnel!$K$9:$K$100="")+(77&lt;=Personnel!$K$9:$K$100)&gt;0)*Personnel!$D$9:$D$100*(1-Personnel!$H$9:$H$100))+Staffing!CC81)*Escalation!$B$78</f>
        <v>344847.862017619</v>
      </c>
      <c r="CB4" s="269" t="n">
        <f aca="false">(SUMPRODUCT((Personnel!$O$9:$O$100&lt;&gt;"")*(Personnel!$G$9:$G$100="Yes")*(78&gt;=Personnel!$E$9:$E$100)*((Personnel!$K$9:$K$100="")+(78&lt;=Personnel!$K$9:$K$100)&gt;0)*Personnel!$D$9:$D$100*(1-Personnel!$H$9:$H$100))+Staffing!CD81)*Escalation!$B$79</f>
        <v>344847.862017619</v>
      </c>
      <c r="CC4" s="269" t="n">
        <f aca="false">(SUMPRODUCT((Personnel!$O$9:$O$100&lt;&gt;"")*(Personnel!$G$9:$G$100="Yes")*(79&gt;=Personnel!$E$9:$E$100)*((Personnel!$K$9:$K$100="")+(79&lt;=Personnel!$K$9:$K$100)&gt;0)*Personnel!$D$9:$D$100*(1-Personnel!$H$9:$H$100))+Staffing!CE81)*Escalation!$B$80</f>
        <v>344847.862017619</v>
      </c>
      <c r="CD4" s="269" t="n">
        <f aca="false">(SUMPRODUCT((Personnel!$O$9:$O$100&lt;&gt;"")*(Personnel!$G$9:$G$100="Yes")*(80&gt;=Personnel!$E$9:$E$100)*((Personnel!$K$9:$K$100="")+(80&lt;=Personnel!$K$9:$K$100)&gt;0)*Personnel!$D$9:$D$100*(1-Personnel!$H$9:$H$100))+Staffing!CF81)*Escalation!$B$81</f>
        <v>344847.862017619</v>
      </c>
      <c r="CE4" s="269" t="n">
        <f aca="false">(SUMPRODUCT((Personnel!$O$9:$O$100&lt;&gt;"")*(Personnel!$G$9:$G$100="Yes")*(81&gt;=Personnel!$E$9:$E$100)*((Personnel!$K$9:$K$100="")+(81&lt;=Personnel!$K$9:$K$100)&gt;0)*Personnel!$D$9:$D$100*(1-Personnel!$H$9:$H$100))+Staffing!CG81)*Escalation!$B$82</f>
        <v>344847.862017619</v>
      </c>
      <c r="CF4" s="269" t="n">
        <f aca="false">(SUMPRODUCT((Personnel!$O$9:$O$100&lt;&gt;"")*(Personnel!$G$9:$G$100="Yes")*(82&gt;=Personnel!$E$9:$E$100)*((Personnel!$K$9:$K$100="")+(82&lt;=Personnel!$K$9:$K$100)&gt;0)*Personnel!$D$9:$D$100*(1-Personnel!$H$9:$H$100))+Staffing!CH81)*Escalation!$B$83</f>
        <v>351744.819257972</v>
      </c>
      <c r="CG4" s="269" t="n">
        <f aca="false">(SUMPRODUCT((Personnel!$O$9:$O$100&lt;&gt;"")*(Personnel!$G$9:$G$100="Yes")*(83&gt;=Personnel!$E$9:$E$100)*((Personnel!$K$9:$K$100="")+(83&lt;=Personnel!$K$9:$K$100)&gt;0)*Personnel!$D$9:$D$100*(1-Personnel!$H$9:$H$100))+Staffing!CI81)*Escalation!$B$84</f>
        <v>351744.819257972</v>
      </c>
      <c r="CH4" s="269" t="n">
        <f aca="false">(SUMPRODUCT((Personnel!$O$9:$O$100&lt;&gt;"")*(Personnel!$G$9:$G$100="Yes")*(84&gt;=Personnel!$E$9:$E$100)*((Personnel!$K$9:$K$100="")+(84&lt;=Personnel!$K$9:$K$100)&gt;0)*Personnel!$D$9:$D$100*(1-Personnel!$H$9:$H$100))+Staffing!CJ81)*Escalation!$B$85</f>
        <v>351744.819257972</v>
      </c>
      <c r="CI4" s="269" t="n">
        <f aca="false">(SUMPRODUCT((Personnel!$O$9:$O$100&lt;&gt;"")*(Personnel!$G$9:$G$100="Yes")*(85&gt;=Personnel!$E$9:$E$100)*((Personnel!$K$9:$K$100="")+(85&lt;=Personnel!$K$9:$K$100)&gt;0)*Personnel!$D$9:$D$100*(1-Personnel!$H$9:$H$100))+Staffing!CK81)*Escalation!$B$86</f>
        <v>351744.819257972</v>
      </c>
      <c r="CJ4" s="269" t="n">
        <f aca="false">(SUMPRODUCT((Personnel!$O$9:$O$100&lt;&gt;"")*(Personnel!$G$9:$G$100="Yes")*(86&gt;=Personnel!$E$9:$E$100)*((Personnel!$K$9:$K$100="")+(86&lt;=Personnel!$K$9:$K$100)&gt;0)*Personnel!$D$9:$D$100*(1-Personnel!$H$9:$H$100))+Staffing!CL81)*Escalation!$B$87</f>
        <v>351744.819257972</v>
      </c>
      <c r="CK4" s="269" t="n">
        <f aca="false">(SUMPRODUCT((Personnel!$O$9:$O$100&lt;&gt;"")*(Personnel!$G$9:$G$100="Yes")*(87&gt;=Personnel!$E$9:$E$100)*((Personnel!$K$9:$K$100="")+(87&lt;=Personnel!$K$9:$K$100)&gt;0)*Personnel!$D$9:$D$100*(1-Personnel!$H$9:$H$100))+Staffing!CM81)*Escalation!$B$88</f>
        <v>351744.819257972</v>
      </c>
      <c r="CL4" s="269" t="n">
        <f aca="false">(SUMPRODUCT((Personnel!$O$9:$O$100&lt;&gt;"")*(Personnel!$G$9:$G$100="Yes")*(88&gt;=Personnel!$E$9:$E$100)*((Personnel!$K$9:$K$100="")+(88&lt;=Personnel!$K$9:$K$100)&gt;0)*Personnel!$D$9:$D$100*(1-Personnel!$H$9:$H$100))+Staffing!CN81)*Escalation!$B$89</f>
        <v>351744.819257972</v>
      </c>
      <c r="CM4" s="269" t="n">
        <f aca="false">(SUMPRODUCT((Personnel!$O$9:$O$100&lt;&gt;"")*(Personnel!$G$9:$G$100="Yes")*(89&gt;=Personnel!$E$9:$E$100)*((Personnel!$K$9:$K$100="")+(89&lt;=Personnel!$K$9:$K$100)&gt;0)*Personnel!$D$9:$D$100*(1-Personnel!$H$9:$H$100))+Staffing!CO81)*Escalation!$B$90</f>
        <v>351744.819257972</v>
      </c>
      <c r="CN4" s="269" t="n">
        <f aca="false">(SUMPRODUCT((Personnel!$O$9:$O$100&lt;&gt;"")*(Personnel!$G$9:$G$100="Yes")*(90&gt;=Personnel!$E$9:$E$100)*((Personnel!$K$9:$K$100="")+(90&lt;=Personnel!$K$9:$K$100)&gt;0)*Personnel!$D$9:$D$100*(1-Personnel!$H$9:$H$100))+Staffing!CP81)*Escalation!$B$91</f>
        <v>351744.819257972</v>
      </c>
      <c r="CO4" s="269" t="n">
        <f aca="false">(SUMPRODUCT((Personnel!$O$9:$O$100&lt;&gt;"")*(Personnel!$G$9:$G$100="Yes")*(91&gt;=Personnel!$E$9:$E$100)*((Personnel!$K$9:$K$100="")+(91&lt;=Personnel!$K$9:$K$100)&gt;0)*Personnel!$D$9:$D$100*(1-Personnel!$H$9:$H$100))+Staffing!CQ81)*Escalation!$B$92</f>
        <v>351744.819257972</v>
      </c>
      <c r="CP4" s="269" t="n">
        <f aca="false">(SUMPRODUCT((Personnel!$O$9:$O$100&lt;&gt;"")*(Personnel!$G$9:$G$100="Yes")*(92&gt;=Personnel!$E$9:$E$100)*((Personnel!$K$9:$K$100="")+(92&lt;=Personnel!$K$9:$K$100)&gt;0)*Personnel!$D$9:$D$100*(1-Personnel!$H$9:$H$100))+Staffing!CR81)*Escalation!$B$93</f>
        <v>351744.819257972</v>
      </c>
      <c r="CQ4" s="269" t="n">
        <f aca="false">(SUMPRODUCT((Personnel!$O$9:$O$100&lt;&gt;"")*(Personnel!$G$9:$G$100="Yes")*(93&gt;=Personnel!$E$9:$E$100)*((Personnel!$K$9:$K$100="")+(93&lt;=Personnel!$K$9:$K$100)&gt;0)*Personnel!$D$9:$D$100*(1-Personnel!$H$9:$H$100))+Staffing!CS81)*Escalation!$B$94</f>
        <v>351744.819257972</v>
      </c>
    </row>
    <row r="5" customFormat="false" ht="15" hidden="false" customHeight="true" outlineLevel="0" collapsed="false">
      <c r="A5" s="187" t="s">
        <v>1069</v>
      </c>
      <c r="C5" s="269" t="n">
        <f aca="false">(SUMPRODUCT((Personnel!$F$9:$F$100="SixPeak")*(Personnel!$G$9:$G$100="Yes")*(1&gt;=Personnel!$E$9:$E$100)*((Personnel!$K$9:$K$100="")+(1&lt;=Personnel!$K$9:$K$100)&gt;0)*Personnel!$D$9:$D$100*(1-Personnel!$H$9:$H$100)*(1-Personnel!$I$9:$I$100)))*Escalation!$B$2</f>
        <v>54166.6666666667</v>
      </c>
      <c r="D5" s="269" t="n">
        <f aca="false">(SUMPRODUCT((Personnel!$F$9:$F$100="SixPeak")*(Personnel!$G$9:$G$100="Yes")*(2&gt;=Personnel!$E$9:$E$100)*((Personnel!$K$9:$K$100="")+(2&lt;=Personnel!$K$9:$K$100)&gt;0)*Personnel!$D$9:$D$100*(1-Personnel!$H$9:$H$100)*(1-Personnel!$I$9:$I$100)))*Escalation!$B$3</f>
        <v>54166.6666666667</v>
      </c>
      <c r="E5" s="269" t="n">
        <f aca="false">(SUMPRODUCT((Personnel!$F$9:$F$100="SixPeak")*(Personnel!$G$9:$G$100="Yes")*(3&gt;=Personnel!$E$9:$E$100)*((Personnel!$K$9:$K$100="")+(3&lt;=Personnel!$K$9:$K$100)&gt;0)*Personnel!$D$9:$D$100*(1-Personnel!$H$9:$H$100)*(1-Personnel!$I$9:$I$100)))*Escalation!$B$4</f>
        <v>54166.6666666667</v>
      </c>
      <c r="F5" s="269" t="n">
        <f aca="false">(SUMPRODUCT((Personnel!$F$9:$F$100="SixPeak")*(Personnel!$G$9:$G$100="Yes")*(4&gt;=Personnel!$E$9:$E$100)*((Personnel!$K$9:$K$100="")+(4&lt;=Personnel!$K$9:$K$100)&gt;0)*Personnel!$D$9:$D$100*(1-Personnel!$H$9:$H$100)*(1-Personnel!$I$9:$I$100)))*Escalation!$B$5</f>
        <v>54166.6666666667</v>
      </c>
      <c r="G5" s="269" t="n">
        <f aca="false">(SUMPRODUCT((Personnel!$F$9:$F$100="SixPeak")*(Personnel!$G$9:$G$100="Yes")*(5&gt;=Personnel!$E$9:$E$100)*((Personnel!$K$9:$K$100="")+(5&lt;=Personnel!$K$9:$K$100)&gt;0)*Personnel!$D$9:$D$100*(1-Personnel!$H$9:$H$100)*(1-Personnel!$I$9:$I$100)))*Escalation!$B$6</f>
        <v>54166.6666666667</v>
      </c>
      <c r="H5" s="269" t="n">
        <f aca="false">(SUMPRODUCT((Personnel!$F$9:$F$100="SixPeak")*(Personnel!$G$9:$G$100="Yes")*(6&gt;=Personnel!$E$9:$E$100)*((Personnel!$K$9:$K$100="")+(6&lt;=Personnel!$K$9:$K$100)&gt;0)*Personnel!$D$9:$D$100*(1-Personnel!$H$9:$H$100)*(1-Personnel!$I$9:$I$100)))*Escalation!$B$7</f>
        <v>54166.6666666667</v>
      </c>
      <c r="I5" s="269" t="n">
        <f aca="false">(SUMPRODUCT((Personnel!$F$9:$F$100="SixPeak")*(Personnel!$G$9:$G$100="Yes")*(7&gt;=Personnel!$E$9:$E$100)*((Personnel!$K$9:$K$100="")+(7&lt;=Personnel!$K$9:$K$100)&gt;0)*Personnel!$D$9:$D$100*(1-Personnel!$H$9:$H$100)*(1-Personnel!$I$9:$I$100)))*Escalation!$B$8</f>
        <v>54166.6666666667</v>
      </c>
      <c r="J5" s="269" t="n">
        <f aca="false">(SUMPRODUCT((Personnel!$F$9:$F$100="SixPeak")*(Personnel!$G$9:$G$100="Yes")*(8&gt;=Personnel!$E$9:$E$100)*((Personnel!$K$9:$K$100="")+(8&lt;=Personnel!$K$9:$K$100)&gt;0)*Personnel!$D$9:$D$100*(1-Personnel!$H$9:$H$100)*(1-Personnel!$I$9:$I$100)))*Escalation!$B$9</f>
        <v>54166.6666666667</v>
      </c>
      <c r="K5" s="269" t="n">
        <f aca="false">(SUMPRODUCT((Personnel!$F$9:$F$100="SixPeak")*(Personnel!$G$9:$G$100="Yes")*(9&gt;=Personnel!$E$9:$E$100)*((Personnel!$K$9:$K$100="")+(9&lt;=Personnel!$K$9:$K$100)&gt;0)*Personnel!$D$9:$D$100*(1-Personnel!$H$9:$H$100)*(1-Personnel!$I$9:$I$100)))*Escalation!$B$10</f>
        <v>54166.6666666667</v>
      </c>
      <c r="L5" s="269" t="n">
        <f aca="false">(SUMPRODUCT((Personnel!$F$9:$F$100="SixPeak")*(Personnel!$G$9:$G$100="Yes")*(10&gt;=Personnel!$E$9:$E$100)*((Personnel!$K$9:$K$100="")+(10&lt;=Personnel!$K$9:$K$100)&gt;0)*Personnel!$D$9:$D$100*(1-Personnel!$H$9:$H$100)*(1-Personnel!$I$9:$I$100)))*Escalation!$B$11</f>
        <v>54791.6666666667</v>
      </c>
      <c r="M5" s="269" t="n">
        <f aca="false">(SUMPRODUCT((Personnel!$F$9:$F$100="SixPeak")*(Personnel!$G$9:$G$100="Yes")*(11&gt;=Personnel!$E$9:$E$100)*((Personnel!$K$9:$K$100="")+(11&lt;=Personnel!$K$9:$K$100)&gt;0)*Personnel!$D$9:$D$100*(1-Personnel!$H$9:$H$100)*(1-Personnel!$I$9:$I$100)))*Escalation!$B$12</f>
        <v>54791.6666666667</v>
      </c>
      <c r="N5" s="269" t="n">
        <f aca="false">(SUMPRODUCT((Personnel!$F$9:$F$100="SixPeak")*(Personnel!$G$9:$G$100="Yes")*(12&gt;=Personnel!$E$9:$E$100)*((Personnel!$K$9:$K$100="")+(12&lt;=Personnel!$K$9:$K$100)&gt;0)*Personnel!$D$9:$D$100*(1-Personnel!$H$9:$H$100)*(1-Personnel!$I$9:$I$100)))*Escalation!$B$13</f>
        <v>54791.6666666667</v>
      </c>
      <c r="O5" s="269" t="n">
        <f aca="false">(SUMPRODUCT((Personnel!$F$9:$F$100="SixPeak")*(Personnel!$G$9:$G$100="Yes")*(13&gt;=Personnel!$E$9:$E$100)*((Personnel!$K$9:$K$100="")+(13&lt;=Personnel!$K$9:$K$100)&gt;0)*Personnel!$D$9:$D$100*(1-Personnel!$H$9:$H$100)*(1-Personnel!$I$9:$I$100)))*Escalation!$B$14</f>
        <v>54791.6666666667</v>
      </c>
      <c r="P5" s="269" t="n">
        <f aca="false">(SUMPRODUCT((Personnel!$F$9:$F$100="SixPeak")*(Personnel!$G$9:$G$100="Yes")*(14&gt;=Personnel!$E$9:$E$100)*((Personnel!$K$9:$K$100="")+(14&lt;=Personnel!$K$9:$K$100)&gt;0)*Personnel!$D$9:$D$100*(1-Personnel!$H$9:$H$100)*(1-Personnel!$I$9:$I$100)))*Escalation!$B$15</f>
        <v>54791.6666666667</v>
      </c>
      <c r="Q5" s="269" t="n">
        <f aca="false">(SUMPRODUCT((Personnel!$F$9:$F$100="SixPeak")*(Personnel!$G$9:$G$100="Yes")*(15&gt;=Personnel!$E$9:$E$100)*((Personnel!$K$9:$K$100="")+(15&lt;=Personnel!$K$9:$K$100)&gt;0)*Personnel!$D$9:$D$100*(1-Personnel!$H$9:$H$100)*(1-Personnel!$I$9:$I$100)))*Escalation!$B$16</f>
        <v>54791.6666666667</v>
      </c>
      <c r="R5" s="269" t="n">
        <f aca="false">(SUMPRODUCT((Personnel!$F$9:$F$100="SixPeak")*(Personnel!$G$9:$G$100="Yes")*(16&gt;=Personnel!$E$9:$E$100)*((Personnel!$K$9:$K$100="")+(16&lt;=Personnel!$K$9:$K$100)&gt;0)*Personnel!$D$9:$D$100*(1-Personnel!$H$9:$H$100)*(1-Personnel!$I$9:$I$100)))*Escalation!$B$17</f>
        <v>54791.6666666667</v>
      </c>
      <c r="S5" s="269" t="n">
        <f aca="false">(SUMPRODUCT((Personnel!$F$9:$F$100="SixPeak")*(Personnel!$G$9:$G$100="Yes")*(17&gt;=Personnel!$E$9:$E$100)*((Personnel!$K$9:$K$100="")+(17&lt;=Personnel!$K$9:$K$100)&gt;0)*Personnel!$D$9:$D$100*(1-Personnel!$H$9:$H$100)*(1-Personnel!$I$9:$I$100)))*Escalation!$B$18</f>
        <v>54791.6666666667</v>
      </c>
      <c r="T5" s="269" t="n">
        <f aca="false">(SUMPRODUCT((Personnel!$F$9:$F$100="SixPeak")*(Personnel!$G$9:$G$100="Yes")*(18&gt;=Personnel!$E$9:$E$100)*((Personnel!$K$9:$K$100="")+(18&lt;=Personnel!$K$9:$K$100)&gt;0)*Personnel!$D$9:$D$100*(1-Personnel!$H$9:$H$100)*(1-Personnel!$I$9:$I$100)))*Escalation!$B$19</f>
        <v>54791.6666666667</v>
      </c>
      <c r="U5" s="269" t="n">
        <f aca="false">(SUMPRODUCT((Personnel!$F$9:$F$100="SixPeak")*(Personnel!$G$9:$G$100="Yes")*(19&gt;=Personnel!$E$9:$E$100)*((Personnel!$K$9:$K$100="")+(19&lt;=Personnel!$K$9:$K$100)&gt;0)*Personnel!$D$9:$D$100*(1-Personnel!$H$9:$H$100)*(1-Personnel!$I$9:$I$100)))*Escalation!$B$20</f>
        <v>54791.6666666667</v>
      </c>
      <c r="V5" s="269" t="n">
        <f aca="false">(SUMPRODUCT((Personnel!$F$9:$F$100="SixPeak")*(Personnel!$G$9:$G$100="Yes")*(20&gt;=Personnel!$E$9:$E$100)*((Personnel!$K$9:$K$100="")+(20&lt;=Personnel!$K$9:$K$100)&gt;0)*Personnel!$D$9:$D$100*(1-Personnel!$H$9:$H$100)*(1-Personnel!$I$9:$I$100)))*Escalation!$B$21</f>
        <v>54791.6666666667</v>
      </c>
      <c r="W5" s="269" t="n">
        <f aca="false">(SUMPRODUCT((Personnel!$F$9:$F$100="SixPeak")*(Personnel!$G$9:$G$100="Yes")*(21&gt;=Personnel!$E$9:$E$100)*((Personnel!$K$9:$K$100="")+(21&lt;=Personnel!$K$9:$K$100)&gt;0)*Personnel!$D$9:$D$100*(1-Personnel!$H$9:$H$100)*(1-Personnel!$I$9:$I$100)))*Escalation!$B$22</f>
        <v>54791.6666666667</v>
      </c>
      <c r="X5" s="269" t="n">
        <f aca="false">(SUMPRODUCT((Personnel!$F$9:$F$100="SixPeak")*(Personnel!$G$9:$G$100="Yes")*(22&gt;=Personnel!$E$9:$E$100)*((Personnel!$K$9:$K$100="")+(22&lt;=Personnel!$K$9:$K$100)&gt;0)*Personnel!$D$9:$D$100*(1-Personnel!$H$9:$H$100)*(1-Personnel!$I$9:$I$100)))*Escalation!$B$23</f>
        <v>55887.5</v>
      </c>
      <c r="Y5" s="269" t="n">
        <f aca="false">(SUMPRODUCT((Personnel!$F$9:$F$100="SixPeak")*(Personnel!$G$9:$G$100="Yes")*(23&gt;=Personnel!$E$9:$E$100)*((Personnel!$K$9:$K$100="")+(23&lt;=Personnel!$K$9:$K$100)&gt;0)*Personnel!$D$9:$D$100*(1-Personnel!$H$9:$H$100)*(1-Personnel!$I$9:$I$100)))*Escalation!$B$24</f>
        <v>55887.5</v>
      </c>
      <c r="Z5" s="269" t="n">
        <f aca="false">(SUMPRODUCT((Personnel!$F$9:$F$100="SixPeak")*(Personnel!$G$9:$G$100="Yes")*(24&gt;=Personnel!$E$9:$E$100)*((Personnel!$K$9:$K$100="")+(24&lt;=Personnel!$K$9:$K$100)&gt;0)*Personnel!$D$9:$D$100*(1-Personnel!$H$9:$H$100)*(1-Personnel!$I$9:$I$100)))*Escalation!$B$25</f>
        <v>55887.5</v>
      </c>
      <c r="AA5" s="269" t="n">
        <f aca="false">(SUMPRODUCT((Personnel!$F$9:$F$100="SixPeak")*(Personnel!$G$9:$G$100="Yes")*(25&gt;=Personnel!$E$9:$E$100)*((Personnel!$K$9:$K$100="")+(25&lt;=Personnel!$K$9:$K$100)&gt;0)*Personnel!$D$9:$D$100*(1-Personnel!$H$9:$H$100)*(1-Personnel!$I$9:$I$100)))*Escalation!$B$26</f>
        <v>55887.5</v>
      </c>
      <c r="AB5" s="269" t="n">
        <f aca="false">(SUMPRODUCT((Personnel!$F$9:$F$100="SixPeak")*(Personnel!$G$9:$G$100="Yes")*(26&gt;=Personnel!$E$9:$E$100)*((Personnel!$K$9:$K$100="")+(26&lt;=Personnel!$K$9:$K$100)&gt;0)*Personnel!$D$9:$D$100*(1-Personnel!$H$9:$H$100)*(1-Personnel!$I$9:$I$100)))*Escalation!$B$27</f>
        <v>55887.5</v>
      </c>
      <c r="AC5" s="269" t="n">
        <f aca="false">(SUMPRODUCT((Personnel!$F$9:$F$100="SixPeak")*(Personnel!$G$9:$G$100="Yes")*(27&gt;=Personnel!$E$9:$E$100)*((Personnel!$K$9:$K$100="")+(27&lt;=Personnel!$K$9:$K$100)&gt;0)*Personnel!$D$9:$D$100*(1-Personnel!$H$9:$H$100)*(1-Personnel!$I$9:$I$100)))*Escalation!$B$28</f>
        <v>55887.5</v>
      </c>
      <c r="AD5" s="269" t="n">
        <f aca="false">(SUMPRODUCT((Personnel!$F$9:$F$100="SixPeak")*(Personnel!$G$9:$G$100="Yes")*(28&gt;=Personnel!$E$9:$E$100)*((Personnel!$K$9:$K$100="")+(28&lt;=Personnel!$K$9:$K$100)&gt;0)*Personnel!$D$9:$D$100*(1-Personnel!$H$9:$H$100)*(1-Personnel!$I$9:$I$100)))*Escalation!$B$29</f>
        <v>55887.5</v>
      </c>
      <c r="AE5" s="269" t="n">
        <f aca="false">(SUMPRODUCT((Personnel!$F$9:$F$100="SixPeak")*(Personnel!$G$9:$G$100="Yes")*(29&gt;=Personnel!$E$9:$E$100)*((Personnel!$K$9:$K$100="")+(29&lt;=Personnel!$K$9:$K$100)&gt;0)*Personnel!$D$9:$D$100*(1-Personnel!$H$9:$H$100)*(1-Personnel!$I$9:$I$100)))*Escalation!$B$30</f>
        <v>55887.5</v>
      </c>
      <c r="AF5" s="269" t="n">
        <f aca="false">(SUMPRODUCT((Personnel!$F$9:$F$100="SixPeak")*(Personnel!$G$9:$G$100="Yes")*(30&gt;=Personnel!$E$9:$E$100)*((Personnel!$K$9:$K$100="")+(30&lt;=Personnel!$K$9:$K$100)&gt;0)*Personnel!$D$9:$D$100*(1-Personnel!$H$9:$H$100)*(1-Personnel!$I$9:$I$100)))*Escalation!$B$31</f>
        <v>55887.5</v>
      </c>
      <c r="AG5" s="269" t="n">
        <f aca="false">(SUMPRODUCT((Personnel!$F$9:$F$100="SixPeak")*(Personnel!$G$9:$G$100="Yes")*(31&gt;=Personnel!$E$9:$E$100)*((Personnel!$K$9:$K$100="")+(31&lt;=Personnel!$K$9:$K$100)&gt;0)*Personnel!$D$9:$D$100*(1-Personnel!$H$9:$H$100)*(1-Personnel!$I$9:$I$100)))*Escalation!$B$32</f>
        <v>55887.5</v>
      </c>
      <c r="AH5" s="269" t="n">
        <f aca="false">(SUMPRODUCT((Personnel!$F$9:$F$100="SixPeak")*(Personnel!$G$9:$G$100="Yes")*(32&gt;=Personnel!$E$9:$E$100)*((Personnel!$K$9:$K$100="")+(32&lt;=Personnel!$K$9:$K$100)&gt;0)*Personnel!$D$9:$D$100*(1-Personnel!$H$9:$H$100)*(1-Personnel!$I$9:$I$100)))*Escalation!$B$33</f>
        <v>55887.5</v>
      </c>
      <c r="AI5" s="269" t="n">
        <f aca="false">(SUMPRODUCT((Personnel!$F$9:$F$100="SixPeak")*(Personnel!$G$9:$G$100="Yes")*(33&gt;=Personnel!$E$9:$E$100)*((Personnel!$K$9:$K$100="")+(33&lt;=Personnel!$K$9:$K$100)&gt;0)*Personnel!$D$9:$D$100*(1-Personnel!$H$9:$H$100)*(1-Personnel!$I$9:$I$100)))*Escalation!$B$34</f>
        <v>55887.5</v>
      </c>
      <c r="AJ5" s="269" t="n">
        <f aca="false">(SUMPRODUCT((Personnel!$F$9:$F$100="SixPeak")*(Personnel!$G$9:$G$100="Yes")*(34&gt;=Personnel!$E$9:$E$100)*((Personnel!$K$9:$K$100="")+(34&lt;=Personnel!$K$9:$K$100)&gt;0)*Personnel!$D$9:$D$100*(1-Personnel!$H$9:$H$100)*(1-Personnel!$I$9:$I$100)))*Escalation!$B$35</f>
        <v>57005.25</v>
      </c>
      <c r="AK5" s="269" t="n">
        <f aca="false">(SUMPRODUCT((Personnel!$F$9:$F$100="SixPeak")*(Personnel!$G$9:$G$100="Yes")*(35&gt;=Personnel!$E$9:$E$100)*((Personnel!$K$9:$K$100="")+(35&lt;=Personnel!$K$9:$K$100)&gt;0)*Personnel!$D$9:$D$100*(1-Personnel!$H$9:$H$100)*(1-Personnel!$I$9:$I$100)))*Escalation!$B$36</f>
        <v>57005.25</v>
      </c>
      <c r="AL5" s="269" t="n">
        <f aca="false">(SUMPRODUCT((Personnel!$F$9:$F$100="SixPeak")*(Personnel!$G$9:$G$100="Yes")*(36&gt;=Personnel!$E$9:$E$100)*((Personnel!$K$9:$K$100="")+(36&lt;=Personnel!$K$9:$K$100)&gt;0)*Personnel!$D$9:$D$100*(1-Personnel!$H$9:$H$100)*(1-Personnel!$I$9:$I$100)))*Escalation!$B$37</f>
        <v>57005.25</v>
      </c>
      <c r="AM5" s="269" t="n">
        <f aca="false">(SUMPRODUCT((Personnel!$F$9:$F$100="SixPeak")*(Personnel!$G$9:$G$100="Yes")*(37&gt;=Personnel!$E$9:$E$100)*((Personnel!$K$9:$K$100="")+(37&lt;=Personnel!$K$9:$K$100)&gt;0)*Personnel!$D$9:$D$100*(1-Personnel!$H$9:$H$100)*(1-Personnel!$I$9:$I$100)))*Escalation!$B$38</f>
        <v>57005.25</v>
      </c>
      <c r="AN5" s="269" t="n">
        <f aca="false">(SUMPRODUCT((Personnel!$F$9:$F$100="SixPeak")*(Personnel!$G$9:$G$100="Yes")*(38&gt;=Personnel!$E$9:$E$100)*((Personnel!$K$9:$K$100="")+(38&lt;=Personnel!$K$9:$K$100)&gt;0)*Personnel!$D$9:$D$100*(1-Personnel!$H$9:$H$100)*(1-Personnel!$I$9:$I$100)))*Escalation!$B$39</f>
        <v>57005.25</v>
      </c>
      <c r="AO5" s="269" t="n">
        <f aca="false">(SUMPRODUCT((Personnel!$F$9:$F$100="SixPeak")*(Personnel!$G$9:$G$100="Yes")*(39&gt;=Personnel!$E$9:$E$100)*((Personnel!$K$9:$K$100="")+(39&lt;=Personnel!$K$9:$K$100)&gt;0)*Personnel!$D$9:$D$100*(1-Personnel!$H$9:$H$100)*(1-Personnel!$I$9:$I$100)))*Escalation!$B$40</f>
        <v>57005.25</v>
      </c>
      <c r="AP5" s="269" t="n">
        <f aca="false">(SUMPRODUCT((Personnel!$F$9:$F$100="SixPeak")*(Personnel!$G$9:$G$100="Yes")*(40&gt;=Personnel!$E$9:$E$100)*((Personnel!$K$9:$K$100="")+(40&lt;=Personnel!$K$9:$K$100)&gt;0)*Personnel!$D$9:$D$100*(1-Personnel!$H$9:$H$100)*(1-Personnel!$I$9:$I$100)))*Escalation!$B$41</f>
        <v>57005.25</v>
      </c>
      <c r="AQ5" s="269" t="n">
        <f aca="false">(SUMPRODUCT((Personnel!$F$9:$F$100="SixPeak")*(Personnel!$G$9:$G$100="Yes")*(41&gt;=Personnel!$E$9:$E$100)*((Personnel!$K$9:$K$100="")+(41&lt;=Personnel!$K$9:$K$100)&gt;0)*Personnel!$D$9:$D$100*(1-Personnel!$H$9:$H$100)*(1-Personnel!$I$9:$I$100)))*Escalation!$B$42</f>
        <v>57005.25</v>
      </c>
      <c r="AR5" s="269" t="n">
        <f aca="false">(SUMPRODUCT((Personnel!$F$9:$F$100="SixPeak")*(Personnel!$G$9:$G$100="Yes")*(42&gt;=Personnel!$E$9:$E$100)*((Personnel!$K$9:$K$100="")+(42&lt;=Personnel!$K$9:$K$100)&gt;0)*Personnel!$D$9:$D$100*(1-Personnel!$H$9:$H$100)*(1-Personnel!$I$9:$I$100)))*Escalation!$B$43</f>
        <v>57005.25</v>
      </c>
      <c r="AS5" s="269" t="n">
        <f aca="false">(SUMPRODUCT((Personnel!$F$9:$F$100="SixPeak")*(Personnel!$G$9:$G$100="Yes")*(43&gt;=Personnel!$E$9:$E$100)*((Personnel!$K$9:$K$100="")+(43&lt;=Personnel!$K$9:$K$100)&gt;0)*Personnel!$D$9:$D$100*(1-Personnel!$H$9:$H$100)*(1-Personnel!$I$9:$I$100)))*Escalation!$B$44</f>
        <v>57005.25</v>
      </c>
      <c r="AT5" s="269" t="n">
        <f aca="false">(SUMPRODUCT((Personnel!$F$9:$F$100="SixPeak")*(Personnel!$G$9:$G$100="Yes")*(44&gt;=Personnel!$E$9:$E$100)*((Personnel!$K$9:$K$100="")+(44&lt;=Personnel!$K$9:$K$100)&gt;0)*Personnel!$D$9:$D$100*(1-Personnel!$H$9:$H$100)*(1-Personnel!$I$9:$I$100)))*Escalation!$B$45</f>
        <v>57005.25</v>
      </c>
      <c r="AU5" s="269" t="n">
        <f aca="false">(SUMPRODUCT((Personnel!$F$9:$F$100="SixPeak")*(Personnel!$G$9:$G$100="Yes")*(45&gt;=Personnel!$E$9:$E$100)*((Personnel!$K$9:$K$100="")+(45&lt;=Personnel!$K$9:$K$100)&gt;0)*Personnel!$D$9:$D$100*(1-Personnel!$H$9:$H$100)*(1-Personnel!$I$9:$I$100)))*Escalation!$B$46</f>
        <v>57005.25</v>
      </c>
      <c r="AV5" s="269" t="n">
        <f aca="false">(SUMPRODUCT((Personnel!$F$9:$F$100="SixPeak")*(Personnel!$G$9:$G$100="Yes")*(46&gt;=Personnel!$E$9:$E$100)*((Personnel!$K$9:$K$100="")+(46&lt;=Personnel!$K$9:$K$100)&gt;0)*Personnel!$D$9:$D$100*(1-Personnel!$H$9:$H$100)*(1-Personnel!$I$9:$I$100)))*Escalation!$B$47</f>
        <v>58145.355</v>
      </c>
      <c r="AW5" s="269" t="n">
        <f aca="false">(SUMPRODUCT((Personnel!$F$9:$F$100="SixPeak")*(Personnel!$G$9:$G$100="Yes")*(47&gt;=Personnel!$E$9:$E$100)*((Personnel!$K$9:$K$100="")+(47&lt;=Personnel!$K$9:$K$100)&gt;0)*Personnel!$D$9:$D$100*(1-Personnel!$H$9:$H$100)*(1-Personnel!$I$9:$I$100)))*Escalation!$B$48</f>
        <v>58145.355</v>
      </c>
      <c r="AX5" s="269" t="n">
        <f aca="false">(SUMPRODUCT((Personnel!$F$9:$F$100="SixPeak")*(Personnel!$G$9:$G$100="Yes")*(48&gt;=Personnel!$E$9:$E$100)*((Personnel!$K$9:$K$100="")+(48&lt;=Personnel!$K$9:$K$100)&gt;0)*Personnel!$D$9:$D$100*(1-Personnel!$H$9:$H$100)*(1-Personnel!$I$9:$I$100)))*Escalation!$B$49</f>
        <v>58145.355</v>
      </c>
      <c r="AY5" s="269" t="n">
        <f aca="false">(SUMPRODUCT((Personnel!$F$9:$F$100="SixPeak")*(Personnel!$G$9:$G$100="Yes")*(49&gt;=Personnel!$E$9:$E$100)*((Personnel!$K$9:$K$100="")+(49&lt;=Personnel!$K$9:$K$100)&gt;0)*Personnel!$D$9:$D$100*(1-Personnel!$H$9:$H$100)*(1-Personnel!$I$9:$I$100)))*Escalation!$B$50</f>
        <v>58145.355</v>
      </c>
      <c r="AZ5" s="269" t="n">
        <f aca="false">(SUMPRODUCT((Personnel!$F$9:$F$100="SixPeak")*(Personnel!$G$9:$G$100="Yes")*(50&gt;=Personnel!$E$9:$E$100)*((Personnel!$K$9:$K$100="")+(50&lt;=Personnel!$K$9:$K$100)&gt;0)*Personnel!$D$9:$D$100*(1-Personnel!$H$9:$H$100)*(1-Personnel!$I$9:$I$100)))*Escalation!$B$51</f>
        <v>58145.355</v>
      </c>
      <c r="BA5" s="269" t="n">
        <f aca="false">(SUMPRODUCT((Personnel!$F$9:$F$100="SixPeak")*(Personnel!$G$9:$G$100="Yes")*(51&gt;=Personnel!$E$9:$E$100)*((Personnel!$K$9:$K$100="")+(51&lt;=Personnel!$K$9:$K$100)&gt;0)*Personnel!$D$9:$D$100*(1-Personnel!$H$9:$H$100)*(1-Personnel!$I$9:$I$100)))*Escalation!$B$52</f>
        <v>58145.355</v>
      </c>
      <c r="BB5" s="269" t="n">
        <f aca="false">(SUMPRODUCT((Personnel!$F$9:$F$100="SixPeak")*(Personnel!$G$9:$G$100="Yes")*(52&gt;=Personnel!$E$9:$E$100)*((Personnel!$K$9:$K$100="")+(52&lt;=Personnel!$K$9:$K$100)&gt;0)*Personnel!$D$9:$D$100*(1-Personnel!$H$9:$H$100)*(1-Personnel!$I$9:$I$100)))*Escalation!$B$53</f>
        <v>58145.355</v>
      </c>
      <c r="BC5" s="269" t="n">
        <f aca="false">(SUMPRODUCT((Personnel!$F$9:$F$100="SixPeak")*(Personnel!$G$9:$G$100="Yes")*(53&gt;=Personnel!$E$9:$E$100)*((Personnel!$K$9:$K$100="")+(53&lt;=Personnel!$K$9:$K$100)&gt;0)*Personnel!$D$9:$D$100*(1-Personnel!$H$9:$H$100)*(1-Personnel!$I$9:$I$100)))*Escalation!$B$54</f>
        <v>58145.355</v>
      </c>
      <c r="BD5" s="269" t="n">
        <f aca="false">(SUMPRODUCT((Personnel!$F$9:$F$100="SixPeak")*(Personnel!$G$9:$G$100="Yes")*(54&gt;=Personnel!$E$9:$E$100)*((Personnel!$K$9:$K$100="")+(54&lt;=Personnel!$K$9:$K$100)&gt;0)*Personnel!$D$9:$D$100*(1-Personnel!$H$9:$H$100)*(1-Personnel!$I$9:$I$100)))*Escalation!$B$55</f>
        <v>58145.355</v>
      </c>
      <c r="BE5" s="269" t="n">
        <f aca="false">(SUMPRODUCT((Personnel!$F$9:$F$100="SixPeak")*(Personnel!$G$9:$G$100="Yes")*(55&gt;=Personnel!$E$9:$E$100)*((Personnel!$K$9:$K$100="")+(55&lt;=Personnel!$K$9:$K$100)&gt;0)*Personnel!$D$9:$D$100*(1-Personnel!$H$9:$H$100)*(1-Personnel!$I$9:$I$100)))*Escalation!$B$56</f>
        <v>58145.355</v>
      </c>
      <c r="BF5" s="269" t="n">
        <f aca="false">(SUMPRODUCT((Personnel!$F$9:$F$100="SixPeak")*(Personnel!$G$9:$G$100="Yes")*(56&gt;=Personnel!$E$9:$E$100)*((Personnel!$K$9:$K$100="")+(56&lt;=Personnel!$K$9:$K$100)&gt;0)*Personnel!$D$9:$D$100*(1-Personnel!$H$9:$H$100)*(1-Personnel!$I$9:$I$100)))*Escalation!$B$57</f>
        <v>58145.355</v>
      </c>
      <c r="BG5" s="269" t="n">
        <f aca="false">(SUMPRODUCT((Personnel!$F$9:$F$100="SixPeak")*(Personnel!$G$9:$G$100="Yes")*(57&gt;=Personnel!$E$9:$E$100)*((Personnel!$K$9:$K$100="")+(57&lt;=Personnel!$K$9:$K$100)&gt;0)*Personnel!$D$9:$D$100*(1-Personnel!$H$9:$H$100)*(1-Personnel!$I$9:$I$100)))*Escalation!$B$58</f>
        <v>58145.355</v>
      </c>
      <c r="BH5" s="269" t="n">
        <f aca="false">(SUMPRODUCT((Personnel!$F$9:$F$100="SixPeak")*(Personnel!$G$9:$G$100="Yes")*(58&gt;=Personnel!$E$9:$E$100)*((Personnel!$K$9:$K$100="")+(58&lt;=Personnel!$K$9:$K$100)&gt;0)*Personnel!$D$9:$D$100*(1-Personnel!$H$9:$H$100)*(1-Personnel!$I$9:$I$100)))*Escalation!$B$59</f>
        <v>59308.2621</v>
      </c>
      <c r="BI5" s="269" t="n">
        <f aca="false">(SUMPRODUCT((Personnel!$F$9:$F$100="SixPeak")*(Personnel!$G$9:$G$100="Yes")*(59&gt;=Personnel!$E$9:$E$100)*((Personnel!$K$9:$K$100="")+(59&lt;=Personnel!$K$9:$K$100)&gt;0)*Personnel!$D$9:$D$100*(1-Personnel!$H$9:$H$100)*(1-Personnel!$I$9:$I$100)))*Escalation!$B$60</f>
        <v>59308.2621</v>
      </c>
      <c r="BJ5" s="269" t="n">
        <f aca="false">(SUMPRODUCT((Personnel!$F$9:$F$100="SixPeak")*(Personnel!$G$9:$G$100="Yes")*(60&gt;=Personnel!$E$9:$E$100)*((Personnel!$K$9:$K$100="")+(60&lt;=Personnel!$K$9:$K$100)&gt;0)*Personnel!$D$9:$D$100*(1-Personnel!$H$9:$H$100)*(1-Personnel!$I$9:$I$100)))*Escalation!$B$61</f>
        <v>59308.2621</v>
      </c>
      <c r="BK5" s="269" t="n">
        <f aca="false">(SUMPRODUCT((Personnel!$F$9:$F$100="SixPeak")*(Personnel!$G$9:$G$100="Yes")*(61&gt;=Personnel!$E$9:$E$100)*((Personnel!$K$9:$K$100="")+(61&lt;=Personnel!$K$9:$K$100)&gt;0)*Personnel!$D$9:$D$100*(1-Personnel!$H$9:$H$100)*(1-Personnel!$I$9:$I$100)))*Escalation!$B$62</f>
        <v>59308.2621</v>
      </c>
      <c r="BL5" s="269" t="n">
        <f aca="false">(SUMPRODUCT((Personnel!$F$9:$F$100="SixPeak")*(Personnel!$G$9:$G$100="Yes")*(62&gt;=Personnel!$E$9:$E$100)*((Personnel!$K$9:$K$100="")+(62&lt;=Personnel!$K$9:$K$100)&gt;0)*Personnel!$D$9:$D$100*(1-Personnel!$H$9:$H$100)*(1-Personnel!$I$9:$I$100)))*Escalation!$B$63</f>
        <v>59308.2621</v>
      </c>
      <c r="BM5" s="269" t="n">
        <f aca="false">(SUMPRODUCT((Personnel!$F$9:$F$100="SixPeak")*(Personnel!$G$9:$G$100="Yes")*(63&gt;=Personnel!$E$9:$E$100)*((Personnel!$K$9:$K$100="")+(63&lt;=Personnel!$K$9:$K$100)&gt;0)*Personnel!$D$9:$D$100*(1-Personnel!$H$9:$H$100)*(1-Personnel!$I$9:$I$100)))*Escalation!$B$64</f>
        <v>59308.2621</v>
      </c>
      <c r="BN5" s="269" t="n">
        <f aca="false">(SUMPRODUCT((Personnel!$F$9:$F$100="SixPeak")*(Personnel!$G$9:$G$100="Yes")*(64&gt;=Personnel!$E$9:$E$100)*((Personnel!$K$9:$K$100="")+(64&lt;=Personnel!$K$9:$K$100)&gt;0)*Personnel!$D$9:$D$100*(1-Personnel!$H$9:$H$100)*(1-Personnel!$I$9:$I$100)))*Escalation!$B$65</f>
        <v>59308.2621</v>
      </c>
      <c r="BO5" s="269" t="n">
        <f aca="false">(SUMPRODUCT((Personnel!$F$9:$F$100="SixPeak")*(Personnel!$G$9:$G$100="Yes")*(65&gt;=Personnel!$E$9:$E$100)*((Personnel!$K$9:$K$100="")+(65&lt;=Personnel!$K$9:$K$100)&gt;0)*Personnel!$D$9:$D$100*(1-Personnel!$H$9:$H$100)*(1-Personnel!$I$9:$I$100)))*Escalation!$B$66</f>
        <v>59308.2621</v>
      </c>
      <c r="BP5" s="269" t="n">
        <f aca="false">(SUMPRODUCT((Personnel!$F$9:$F$100="SixPeak")*(Personnel!$G$9:$G$100="Yes")*(66&gt;=Personnel!$E$9:$E$100)*((Personnel!$K$9:$K$100="")+(66&lt;=Personnel!$K$9:$K$100)&gt;0)*Personnel!$D$9:$D$100*(1-Personnel!$H$9:$H$100)*(1-Personnel!$I$9:$I$100)))*Escalation!$B$67</f>
        <v>59308.2621</v>
      </c>
      <c r="BQ5" s="269" t="n">
        <f aca="false">(SUMPRODUCT((Personnel!$F$9:$F$100="SixPeak")*(Personnel!$G$9:$G$100="Yes")*(67&gt;=Personnel!$E$9:$E$100)*((Personnel!$K$9:$K$100="")+(67&lt;=Personnel!$K$9:$K$100)&gt;0)*Personnel!$D$9:$D$100*(1-Personnel!$H$9:$H$100)*(1-Personnel!$I$9:$I$100)))*Escalation!$B$68</f>
        <v>59308.2621</v>
      </c>
      <c r="BR5" s="269" t="n">
        <f aca="false">(SUMPRODUCT((Personnel!$F$9:$F$100="SixPeak")*(Personnel!$G$9:$G$100="Yes")*(68&gt;=Personnel!$E$9:$E$100)*((Personnel!$K$9:$K$100="")+(68&lt;=Personnel!$K$9:$K$100)&gt;0)*Personnel!$D$9:$D$100*(1-Personnel!$H$9:$H$100)*(1-Personnel!$I$9:$I$100)))*Escalation!$B$69</f>
        <v>59308.2621</v>
      </c>
      <c r="BS5" s="269" t="n">
        <f aca="false">(SUMPRODUCT((Personnel!$F$9:$F$100="SixPeak")*(Personnel!$G$9:$G$100="Yes")*(69&gt;=Personnel!$E$9:$E$100)*((Personnel!$K$9:$K$100="")+(69&lt;=Personnel!$K$9:$K$100)&gt;0)*Personnel!$D$9:$D$100*(1-Personnel!$H$9:$H$100)*(1-Personnel!$I$9:$I$100)))*Escalation!$B$70</f>
        <v>59308.2621</v>
      </c>
      <c r="BT5" s="269" t="n">
        <f aca="false">(SUMPRODUCT((Personnel!$F$9:$F$100="SixPeak")*(Personnel!$G$9:$G$100="Yes")*(70&gt;=Personnel!$E$9:$E$100)*((Personnel!$K$9:$K$100="")+(70&lt;=Personnel!$K$9:$K$100)&gt;0)*Personnel!$D$9:$D$100*(1-Personnel!$H$9:$H$100)*(1-Personnel!$I$9:$I$100)))*Escalation!$B$71</f>
        <v>60494.427342</v>
      </c>
      <c r="BU5" s="269" t="n">
        <f aca="false">(SUMPRODUCT((Personnel!$F$9:$F$100="SixPeak")*(Personnel!$G$9:$G$100="Yes")*(71&gt;=Personnel!$E$9:$E$100)*((Personnel!$K$9:$K$100="")+(71&lt;=Personnel!$K$9:$K$100)&gt;0)*Personnel!$D$9:$D$100*(1-Personnel!$H$9:$H$100)*(1-Personnel!$I$9:$I$100)))*Escalation!$B$72</f>
        <v>60494.427342</v>
      </c>
      <c r="BV5" s="269" t="n">
        <f aca="false">(SUMPRODUCT((Personnel!$F$9:$F$100="SixPeak")*(Personnel!$G$9:$G$100="Yes")*(72&gt;=Personnel!$E$9:$E$100)*((Personnel!$K$9:$K$100="")+(72&lt;=Personnel!$K$9:$K$100)&gt;0)*Personnel!$D$9:$D$100*(1-Personnel!$H$9:$H$100)*(1-Personnel!$I$9:$I$100)))*Escalation!$B$73</f>
        <v>60494.427342</v>
      </c>
      <c r="BW5" s="269" t="n">
        <f aca="false">(SUMPRODUCT((Personnel!$F$9:$F$100="SixPeak")*(Personnel!$G$9:$G$100="Yes")*(73&gt;=Personnel!$E$9:$E$100)*((Personnel!$K$9:$K$100="")+(73&lt;=Personnel!$K$9:$K$100)&gt;0)*Personnel!$D$9:$D$100*(1-Personnel!$H$9:$H$100)*(1-Personnel!$I$9:$I$100)))*Escalation!$B$74</f>
        <v>60494.427342</v>
      </c>
      <c r="BX5" s="269" t="n">
        <f aca="false">(SUMPRODUCT((Personnel!$F$9:$F$100="SixPeak")*(Personnel!$G$9:$G$100="Yes")*(74&gt;=Personnel!$E$9:$E$100)*((Personnel!$K$9:$K$100="")+(74&lt;=Personnel!$K$9:$K$100)&gt;0)*Personnel!$D$9:$D$100*(1-Personnel!$H$9:$H$100)*(1-Personnel!$I$9:$I$100)))*Escalation!$B$75</f>
        <v>60494.427342</v>
      </c>
      <c r="BY5" s="269" t="n">
        <f aca="false">(SUMPRODUCT((Personnel!$F$9:$F$100="SixPeak")*(Personnel!$G$9:$G$100="Yes")*(75&gt;=Personnel!$E$9:$E$100)*((Personnel!$K$9:$K$100="")+(75&lt;=Personnel!$K$9:$K$100)&gt;0)*Personnel!$D$9:$D$100*(1-Personnel!$H$9:$H$100)*(1-Personnel!$I$9:$I$100)))*Escalation!$B$76</f>
        <v>60494.427342</v>
      </c>
      <c r="BZ5" s="269" t="n">
        <f aca="false">(SUMPRODUCT((Personnel!$F$9:$F$100="SixPeak")*(Personnel!$G$9:$G$100="Yes")*(76&gt;=Personnel!$E$9:$E$100)*((Personnel!$K$9:$K$100="")+(76&lt;=Personnel!$K$9:$K$100)&gt;0)*Personnel!$D$9:$D$100*(1-Personnel!$H$9:$H$100)*(1-Personnel!$I$9:$I$100)))*Escalation!$B$77</f>
        <v>60494.427342</v>
      </c>
      <c r="CA5" s="269" t="n">
        <f aca="false">(SUMPRODUCT((Personnel!$F$9:$F$100="SixPeak")*(Personnel!$G$9:$G$100="Yes")*(77&gt;=Personnel!$E$9:$E$100)*((Personnel!$K$9:$K$100="")+(77&lt;=Personnel!$K$9:$K$100)&gt;0)*Personnel!$D$9:$D$100*(1-Personnel!$H$9:$H$100)*(1-Personnel!$I$9:$I$100)))*Escalation!$B$78</f>
        <v>60494.427342</v>
      </c>
      <c r="CB5" s="269" t="n">
        <f aca="false">(SUMPRODUCT((Personnel!$F$9:$F$100="SixPeak")*(Personnel!$G$9:$G$100="Yes")*(78&gt;=Personnel!$E$9:$E$100)*((Personnel!$K$9:$K$100="")+(78&lt;=Personnel!$K$9:$K$100)&gt;0)*Personnel!$D$9:$D$100*(1-Personnel!$H$9:$H$100)*(1-Personnel!$I$9:$I$100)))*Escalation!$B$79</f>
        <v>60494.427342</v>
      </c>
      <c r="CC5" s="269" t="n">
        <f aca="false">(SUMPRODUCT((Personnel!$F$9:$F$100="SixPeak")*(Personnel!$G$9:$G$100="Yes")*(79&gt;=Personnel!$E$9:$E$100)*((Personnel!$K$9:$K$100="")+(79&lt;=Personnel!$K$9:$K$100)&gt;0)*Personnel!$D$9:$D$100*(1-Personnel!$H$9:$H$100)*(1-Personnel!$I$9:$I$100)))*Escalation!$B$80</f>
        <v>60494.427342</v>
      </c>
      <c r="CD5" s="269" t="n">
        <f aca="false">(SUMPRODUCT((Personnel!$F$9:$F$100="SixPeak")*(Personnel!$G$9:$G$100="Yes")*(80&gt;=Personnel!$E$9:$E$100)*((Personnel!$K$9:$K$100="")+(80&lt;=Personnel!$K$9:$K$100)&gt;0)*Personnel!$D$9:$D$100*(1-Personnel!$H$9:$H$100)*(1-Personnel!$I$9:$I$100)))*Escalation!$B$81</f>
        <v>60494.427342</v>
      </c>
      <c r="CE5" s="269" t="n">
        <f aca="false">(SUMPRODUCT((Personnel!$F$9:$F$100="SixPeak")*(Personnel!$G$9:$G$100="Yes")*(81&gt;=Personnel!$E$9:$E$100)*((Personnel!$K$9:$K$100="")+(81&lt;=Personnel!$K$9:$K$100)&gt;0)*Personnel!$D$9:$D$100*(1-Personnel!$H$9:$H$100)*(1-Personnel!$I$9:$I$100)))*Escalation!$B$82</f>
        <v>60494.427342</v>
      </c>
      <c r="CF5" s="269" t="n">
        <f aca="false">(SUMPRODUCT((Personnel!$F$9:$F$100="SixPeak")*(Personnel!$G$9:$G$100="Yes")*(82&gt;=Personnel!$E$9:$E$100)*((Personnel!$K$9:$K$100="")+(82&lt;=Personnel!$K$9:$K$100)&gt;0)*Personnel!$D$9:$D$100*(1-Personnel!$H$9:$H$100)*(1-Personnel!$I$9:$I$100)))*Escalation!$B$83</f>
        <v>61704.31588884</v>
      </c>
      <c r="CG5" s="269" t="n">
        <f aca="false">(SUMPRODUCT((Personnel!$F$9:$F$100="SixPeak")*(Personnel!$G$9:$G$100="Yes")*(83&gt;=Personnel!$E$9:$E$100)*((Personnel!$K$9:$K$100="")+(83&lt;=Personnel!$K$9:$K$100)&gt;0)*Personnel!$D$9:$D$100*(1-Personnel!$H$9:$H$100)*(1-Personnel!$I$9:$I$100)))*Escalation!$B$84</f>
        <v>61704.31588884</v>
      </c>
      <c r="CH5" s="269" t="n">
        <f aca="false">(SUMPRODUCT((Personnel!$F$9:$F$100="SixPeak")*(Personnel!$G$9:$G$100="Yes")*(84&gt;=Personnel!$E$9:$E$100)*((Personnel!$K$9:$K$100="")+(84&lt;=Personnel!$K$9:$K$100)&gt;0)*Personnel!$D$9:$D$100*(1-Personnel!$H$9:$H$100)*(1-Personnel!$I$9:$I$100)))*Escalation!$B$85</f>
        <v>61704.31588884</v>
      </c>
      <c r="CI5" s="269" t="n">
        <f aca="false">(SUMPRODUCT((Personnel!$F$9:$F$100="SixPeak")*(Personnel!$G$9:$G$100="Yes")*(85&gt;=Personnel!$E$9:$E$100)*((Personnel!$K$9:$K$100="")+(85&lt;=Personnel!$K$9:$K$100)&gt;0)*Personnel!$D$9:$D$100*(1-Personnel!$H$9:$H$100)*(1-Personnel!$I$9:$I$100)))*Escalation!$B$86</f>
        <v>61704.31588884</v>
      </c>
      <c r="CJ5" s="269" t="n">
        <f aca="false">(SUMPRODUCT((Personnel!$F$9:$F$100="SixPeak")*(Personnel!$G$9:$G$100="Yes")*(86&gt;=Personnel!$E$9:$E$100)*((Personnel!$K$9:$K$100="")+(86&lt;=Personnel!$K$9:$K$100)&gt;0)*Personnel!$D$9:$D$100*(1-Personnel!$H$9:$H$100)*(1-Personnel!$I$9:$I$100)))*Escalation!$B$87</f>
        <v>61704.31588884</v>
      </c>
      <c r="CK5" s="269" t="n">
        <f aca="false">(SUMPRODUCT((Personnel!$F$9:$F$100="SixPeak")*(Personnel!$G$9:$G$100="Yes")*(87&gt;=Personnel!$E$9:$E$100)*((Personnel!$K$9:$K$100="")+(87&lt;=Personnel!$K$9:$K$100)&gt;0)*Personnel!$D$9:$D$100*(1-Personnel!$H$9:$H$100)*(1-Personnel!$I$9:$I$100)))*Escalation!$B$88</f>
        <v>61704.31588884</v>
      </c>
      <c r="CL5" s="269" t="n">
        <f aca="false">(SUMPRODUCT((Personnel!$F$9:$F$100="SixPeak")*(Personnel!$G$9:$G$100="Yes")*(88&gt;=Personnel!$E$9:$E$100)*((Personnel!$K$9:$K$100="")+(88&lt;=Personnel!$K$9:$K$100)&gt;0)*Personnel!$D$9:$D$100*(1-Personnel!$H$9:$H$100)*(1-Personnel!$I$9:$I$100)))*Escalation!$B$89</f>
        <v>61704.31588884</v>
      </c>
      <c r="CM5" s="269" t="n">
        <f aca="false">(SUMPRODUCT((Personnel!$F$9:$F$100="SixPeak")*(Personnel!$G$9:$G$100="Yes")*(89&gt;=Personnel!$E$9:$E$100)*((Personnel!$K$9:$K$100="")+(89&lt;=Personnel!$K$9:$K$100)&gt;0)*Personnel!$D$9:$D$100*(1-Personnel!$H$9:$H$100)*(1-Personnel!$I$9:$I$100)))*Escalation!$B$90</f>
        <v>61704.31588884</v>
      </c>
      <c r="CN5" s="269" t="n">
        <f aca="false">(SUMPRODUCT((Personnel!$F$9:$F$100="SixPeak")*(Personnel!$G$9:$G$100="Yes")*(90&gt;=Personnel!$E$9:$E$100)*((Personnel!$K$9:$K$100="")+(90&lt;=Personnel!$K$9:$K$100)&gt;0)*Personnel!$D$9:$D$100*(1-Personnel!$H$9:$H$100)*(1-Personnel!$I$9:$I$100)))*Escalation!$B$91</f>
        <v>61704.31588884</v>
      </c>
      <c r="CO5" s="269" t="n">
        <f aca="false">(SUMPRODUCT((Personnel!$F$9:$F$100="SixPeak")*(Personnel!$G$9:$G$100="Yes")*(91&gt;=Personnel!$E$9:$E$100)*((Personnel!$K$9:$K$100="")+(91&lt;=Personnel!$K$9:$K$100)&gt;0)*Personnel!$D$9:$D$100*(1-Personnel!$H$9:$H$100)*(1-Personnel!$I$9:$I$100)))*Escalation!$B$92</f>
        <v>61704.31588884</v>
      </c>
      <c r="CP5" s="269" t="n">
        <f aca="false">(SUMPRODUCT((Personnel!$F$9:$F$100="SixPeak")*(Personnel!$G$9:$G$100="Yes")*(92&gt;=Personnel!$E$9:$E$100)*((Personnel!$K$9:$K$100="")+(92&lt;=Personnel!$K$9:$K$100)&gt;0)*Personnel!$D$9:$D$100*(1-Personnel!$H$9:$H$100)*(1-Personnel!$I$9:$I$100)))*Escalation!$B$93</f>
        <v>61704.31588884</v>
      </c>
      <c r="CQ5" s="269" t="n">
        <f aca="false">(SUMPRODUCT((Personnel!$F$9:$F$100="SixPeak")*(Personnel!$G$9:$G$100="Yes")*(93&gt;=Personnel!$E$9:$E$100)*((Personnel!$K$9:$K$100="")+(93&lt;=Personnel!$K$9:$K$100)&gt;0)*Personnel!$D$9:$D$100*(1-Personnel!$H$9:$H$100)*(1-Personnel!$I$9:$I$100)))*Escalation!$B$94</f>
        <v>61704.31588884</v>
      </c>
    </row>
    <row r="7" customFormat="false" ht="15" hidden="false" customHeight="true" outlineLevel="0" collapsed="false">
      <c r="A7" s="263" t="s">
        <v>1070</v>
      </c>
    </row>
    <row r="8" customFormat="false" ht="15" hidden="false" customHeight="true" outlineLevel="0" collapsed="false">
      <c r="A8" s="187" t="s">
        <v>9</v>
      </c>
      <c r="C8" s="269" t="n">
        <v>11187175.79</v>
      </c>
      <c r="D8" s="269" t="n">
        <v>10356493.69</v>
      </c>
      <c r="E8" s="269" t="n">
        <v>9450240.48</v>
      </c>
      <c r="F8" s="269" t="n">
        <v>8485833.11</v>
      </c>
      <c r="G8" s="269" t="n">
        <v>6546008.3</v>
      </c>
      <c r="H8" s="269" t="n">
        <v>5950977.14</v>
      </c>
      <c r="I8" s="269" t="n">
        <v>5403449.04</v>
      </c>
      <c r="J8" s="269" t="n">
        <v>4778618.53</v>
      </c>
      <c r="K8" s="269" t="n">
        <v>4012283.82</v>
      </c>
      <c r="L8" s="269" t="n">
        <v>3317496.87</v>
      </c>
      <c r="M8" s="269" t="n">
        <v>2693094.26</v>
      </c>
      <c r="N8" s="269" t="n">
        <v>1981609.96</v>
      </c>
      <c r="O8" s="269" t="n">
        <v>1250721.11</v>
      </c>
      <c r="P8" s="269" t="n">
        <v>661631.3</v>
      </c>
      <c r="Q8" s="269" t="n">
        <v>297802.14</v>
      </c>
      <c r="R8" s="269" t="n">
        <v>126194.42</v>
      </c>
      <c r="S8" s="269" t="n">
        <v>0</v>
      </c>
      <c r="T8" s="269" t="n">
        <v>0</v>
      </c>
      <c r="U8" s="269" t="n">
        <v>0</v>
      </c>
      <c r="V8" s="269" t="n">
        <v>0</v>
      </c>
      <c r="W8" s="269" t="n">
        <v>0</v>
      </c>
      <c r="X8" s="269" t="n">
        <v>0</v>
      </c>
      <c r="Y8" s="269" t="n">
        <v>0</v>
      </c>
      <c r="Z8" s="269" t="n">
        <v>0</v>
      </c>
      <c r="AA8" s="269" t="n">
        <v>0</v>
      </c>
      <c r="AB8" s="269" t="n">
        <v>0</v>
      </c>
      <c r="AC8" s="269" t="n">
        <v>0</v>
      </c>
      <c r="AD8" s="269" t="n">
        <v>0</v>
      </c>
      <c r="AE8" s="269" t="n">
        <v>0</v>
      </c>
      <c r="AF8" s="269" t="n">
        <v>0</v>
      </c>
      <c r="AG8" s="269" t="n">
        <v>0</v>
      </c>
      <c r="AH8" s="269" t="n">
        <v>0</v>
      </c>
      <c r="AI8" s="269" t="n">
        <v>0</v>
      </c>
      <c r="AJ8" s="269" t="n">
        <v>0</v>
      </c>
      <c r="AK8" s="269" t="n">
        <v>0</v>
      </c>
      <c r="AL8" s="269" t="n">
        <v>0</v>
      </c>
      <c r="AM8" s="269" t="n">
        <v>0</v>
      </c>
      <c r="AN8" s="269" t="n">
        <v>0</v>
      </c>
      <c r="AO8" s="269" t="n">
        <v>0</v>
      </c>
      <c r="AP8" s="269" t="n">
        <v>0</v>
      </c>
      <c r="AQ8" s="269" t="n">
        <v>0</v>
      </c>
      <c r="AR8" s="269" t="n">
        <v>0</v>
      </c>
      <c r="AS8" s="269" t="n">
        <v>0</v>
      </c>
      <c r="AT8" s="269" t="n">
        <v>0</v>
      </c>
      <c r="AU8" s="269" t="n">
        <v>0</v>
      </c>
      <c r="AV8" s="269" t="n">
        <v>0</v>
      </c>
      <c r="AW8" s="269" t="n">
        <v>0</v>
      </c>
      <c r="AX8" s="269" t="n">
        <v>0</v>
      </c>
      <c r="AY8" s="269" t="n">
        <v>0</v>
      </c>
      <c r="AZ8" s="269" t="n">
        <v>0</v>
      </c>
      <c r="BA8" s="269" t="n">
        <v>0</v>
      </c>
      <c r="BB8" s="269" t="n">
        <v>0</v>
      </c>
      <c r="BC8" s="269" t="n">
        <v>0</v>
      </c>
      <c r="BD8" s="269" t="n">
        <v>0</v>
      </c>
      <c r="BE8" s="269" t="n">
        <v>0</v>
      </c>
      <c r="BF8" s="269" t="n">
        <v>0</v>
      </c>
      <c r="BG8" s="269" t="n">
        <v>0</v>
      </c>
      <c r="BH8" s="269" t="n">
        <v>0</v>
      </c>
      <c r="BI8" s="269" t="n">
        <v>0</v>
      </c>
      <c r="BJ8" s="269" t="n">
        <v>0</v>
      </c>
      <c r="BK8" s="269" t="n">
        <v>0</v>
      </c>
      <c r="BL8" s="269" t="n">
        <v>0</v>
      </c>
      <c r="BM8" s="269" t="n">
        <v>0</v>
      </c>
      <c r="BN8" s="269" t="n">
        <v>0</v>
      </c>
      <c r="BO8" s="269" t="n">
        <v>0</v>
      </c>
      <c r="BP8" s="269" t="n">
        <v>0</v>
      </c>
      <c r="BQ8" s="269" t="n">
        <v>0</v>
      </c>
      <c r="BR8" s="269" t="n">
        <v>0</v>
      </c>
      <c r="BS8" s="269" t="n">
        <v>0</v>
      </c>
      <c r="BT8" s="269" t="n">
        <v>0</v>
      </c>
      <c r="BU8" s="269" t="n">
        <v>0</v>
      </c>
      <c r="BV8" s="269" t="n">
        <v>0</v>
      </c>
      <c r="BW8" s="269" t="n">
        <v>0</v>
      </c>
      <c r="BX8" s="269" t="n">
        <v>0</v>
      </c>
      <c r="BY8" s="269" t="n">
        <v>0</v>
      </c>
      <c r="BZ8" s="269" t="n">
        <v>0</v>
      </c>
      <c r="CA8" s="269" t="n">
        <v>0</v>
      </c>
      <c r="CB8" s="269" t="n">
        <v>0</v>
      </c>
      <c r="CC8" s="269" t="n">
        <v>0</v>
      </c>
      <c r="CD8" s="269" t="n">
        <v>0</v>
      </c>
      <c r="CE8" s="269" t="n">
        <v>0</v>
      </c>
      <c r="CF8" s="269" t="n">
        <v>0</v>
      </c>
      <c r="CG8" s="269" t="n">
        <v>0</v>
      </c>
      <c r="CH8" s="269" t="n">
        <v>0</v>
      </c>
      <c r="CI8" s="269" t="n">
        <v>0</v>
      </c>
      <c r="CJ8" s="269" t="n">
        <v>0</v>
      </c>
      <c r="CK8" s="269" t="n">
        <v>0</v>
      </c>
      <c r="CL8" s="269" t="n">
        <v>0</v>
      </c>
      <c r="CM8" s="269" t="n">
        <v>0</v>
      </c>
      <c r="CN8" s="269" t="n">
        <v>0</v>
      </c>
      <c r="CO8" s="269" t="n">
        <v>0</v>
      </c>
      <c r="CP8" s="269" t="n">
        <v>0</v>
      </c>
      <c r="CQ8" s="269" t="n">
        <v>0</v>
      </c>
    </row>
    <row r="9" customFormat="false" ht="15" hidden="false" customHeight="true" outlineLevel="0" collapsed="false">
      <c r="A9" s="187" t="s">
        <v>10</v>
      </c>
      <c r="C9" s="269" t="n">
        <v>13529664.56</v>
      </c>
      <c r="D9" s="269" t="n">
        <v>12525045.48</v>
      </c>
      <c r="E9" s="269" t="n">
        <v>11429031.43</v>
      </c>
      <c r="F9" s="269" t="n">
        <v>10262686.27</v>
      </c>
      <c r="G9" s="269" t="n">
        <v>9354156.4</v>
      </c>
      <c r="H9" s="269" t="n">
        <v>8576474.68</v>
      </c>
      <c r="I9" s="269" t="n">
        <v>7686708.76</v>
      </c>
      <c r="J9" s="269" t="n">
        <v>7003935.62</v>
      </c>
      <c r="K9" s="269" t="n">
        <v>6232412.67</v>
      </c>
      <c r="L9" s="269" t="n">
        <v>5543806.21</v>
      </c>
      <c r="M9" s="269" t="n">
        <v>4887352.83</v>
      </c>
      <c r="N9" s="269" t="n">
        <v>4294423.23</v>
      </c>
      <c r="O9" s="269" t="n">
        <v>3826241.58</v>
      </c>
      <c r="P9" s="269" t="n">
        <v>3410361.03</v>
      </c>
      <c r="Q9" s="269" t="n">
        <v>2510448.86</v>
      </c>
      <c r="R9" s="269" t="n">
        <v>1384588.44</v>
      </c>
      <c r="S9" s="269" t="n">
        <v>631341.78</v>
      </c>
      <c r="T9" s="269" t="n">
        <v>164743.84</v>
      </c>
      <c r="U9" s="269" t="n">
        <v>0</v>
      </c>
      <c r="V9" s="269" t="n">
        <v>0</v>
      </c>
      <c r="W9" s="269" t="n">
        <v>0</v>
      </c>
      <c r="X9" s="269" t="n">
        <v>0</v>
      </c>
      <c r="Y9" s="269" t="n">
        <v>0</v>
      </c>
      <c r="Z9" s="269" t="n">
        <v>0</v>
      </c>
      <c r="AA9" s="269" t="n">
        <v>0</v>
      </c>
      <c r="AB9" s="269" t="n">
        <v>0</v>
      </c>
      <c r="AC9" s="269" t="n">
        <v>0</v>
      </c>
      <c r="AD9" s="269" t="n">
        <v>0</v>
      </c>
      <c r="AE9" s="269" t="n">
        <v>0</v>
      </c>
      <c r="AF9" s="269" t="n">
        <v>0</v>
      </c>
      <c r="AG9" s="269" t="n">
        <v>0</v>
      </c>
      <c r="AH9" s="269" t="n">
        <v>0</v>
      </c>
      <c r="AI9" s="269" t="n">
        <v>0</v>
      </c>
      <c r="AJ9" s="269" t="n">
        <v>0</v>
      </c>
      <c r="AK9" s="269" t="n">
        <v>0</v>
      </c>
      <c r="AL9" s="269" t="n">
        <v>0</v>
      </c>
      <c r="AM9" s="269" t="n">
        <v>0</v>
      </c>
      <c r="AN9" s="269" t="n">
        <v>0</v>
      </c>
      <c r="AO9" s="269" t="n">
        <v>0</v>
      </c>
      <c r="AP9" s="269" t="n">
        <v>0</v>
      </c>
      <c r="AQ9" s="269" t="n">
        <v>0</v>
      </c>
      <c r="AR9" s="269" t="n">
        <v>0</v>
      </c>
      <c r="AS9" s="269" t="n">
        <v>0</v>
      </c>
      <c r="AT9" s="269" t="n">
        <v>0</v>
      </c>
      <c r="AU9" s="269" t="n">
        <v>0</v>
      </c>
      <c r="AV9" s="269" t="n">
        <v>0</v>
      </c>
      <c r="AW9" s="269" t="n">
        <v>0</v>
      </c>
      <c r="AX9" s="269" t="n">
        <v>0</v>
      </c>
      <c r="AY9" s="269" t="n">
        <v>0</v>
      </c>
      <c r="AZ9" s="269" t="n">
        <v>0</v>
      </c>
      <c r="BA9" s="269" t="n">
        <v>0</v>
      </c>
      <c r="BB9" s="269" t="n">
        <v>0</v>
      </c>
      <c r="BC9" s="269" t="n">
        <v>0</v>
      </c>
      <c r="BD9" s="269" t="n">
        <v>0</v>
      </c>
      <c r="BE9" s="269" t="n">
        <v>0</v>
      </c>
      <c r="BF9" s="269" t="n">
        <v>0</v>
      </c>
      <c r="BG9" s="269" t="n">
        <v>0</v>
      </c>
      <c r="BH9" s="269" t="n">
        <v>0</v>
      </c>
      <c r="BI9" s="269" t="n">
        <v>0</v>
      </c>
      <c r="BJ9" s="269" t="n">
        <v>0</v>
      </c>
      <c r="BK9" s="269" t="n">
        <v>0</v>
      </c>
      <c r="BL9" s="269" t="n">
        <v>0</v>
      </c>
      <c r="BM9" s="269" t="n">
        <v>0</v>
      </c>
      <c r="BN9" s="269" t="n">
        <v>0</v>
      </c>
      <c r="BO9" s="269" t="n">
        <v>0</v>
      </c>
      <c r="BP9" s="269" t="n">
        <v>0</v>
      </c>
      <c r="BQ9" s="269" t="n">
        <v>0</v>
      </c>
      <c r="BR9" s="269" t="n">
        <v>0</v>
      </c>
      <c r="BS9" s="269" t="n">
        <v>0</v>
      </c>
      <c r="BT9" s="269" t="n">
        <v>0</v>
      </c>
      <c r="BU9" s="269" t="n">
        <v>0</v>
      </c>
      <c r="BV9" s="269" t="n">
        <v>0</v>
      </c>
      <c r="BW9" s="269" t="n">
        <v>0</v>
      </c>
      <c r="BX9" s="269" t="n">
        <v>0</v>
      </c>
      <c r="BY9" s="269" t="n">
        <v>0</v>
      </c>
      <c r="BZ9" s="269" t="n">
        <v>0</v>
      </c>
      <c r="CA9" s="269" t="n">
        <v>0</v>
      </c>
      <c r="CB9" s="269" t="n">
        <v>0</v>
      </c>
      <c r="CC9" s="269" t="n">
        <v>0</v>
      </c>
      <c r="CD9" s="269" t="n">
        <v>0</v>
      </c>
      <c r="CE9" s="269" t="n">
        <v>0</v>
      </c>
      <c r="CF9" s="269" t="n">
        <v>0</v>
      </c>
      <c r="CG9" s="269" t="n">
        <v>0</v>
      </c>
      <c r="CH9" s="269" t="n">
        <v>0</v>
      </c>
      <c r="CI9" s="269" t="n">
        <v>0</v>
      </c>
      <c r="CJ9" s="269" t="n">
        <v>0</v>
      </c>
      <c r="CK9" s="269" t="n">
        <v>0</v>
      </c>
      <c r="CL9" s="269" t="n">
        <v>0</v>
      </c>
      <c r="CM9" s="269" t="n">
        <v>0</v>
      </c>
      <c r="CN9" s="269" t="n">
        <v>0</v>
      </c>
      <c r="CO9" s="269" t="n">
        <v>0</v>
      </c>
      <c r="CP9" s="269" t="n">
        <v>0</v>
      </c>
      <c r="CQ9" s="269" t="n">
        <v>0</v>
      </c>
    </row>
    <row r="10" customFormat="false" ht="15" hidden="false" customHeight="true" outlineLevel="0" collapsed="false">
      <c r="A10" s="187" t="s">
        <v>12</v>
      </c>
      <c r="C10" s="269" t="n">
        <v>0</v>
      </c>
      <c r="D10" s="269" t="n">
        <v>0</v>
      </c>
      <c r="E10" s="269" t="n">
        <v>0</v>
      </c>
      <c r="F10" s="269" t="n">
        <v>0</v>
      </c>
      <c r="G10" s="269" t="n">
        <v>42418193.38</v>
      </c>
      <c r="H10" s="269" t="n">
        <v>41557159.51</v>
      </c>
      <c r="I10" s="269" t="n">
        <v>40347746.5</v>
      </c>
      <c r="J10" s="269" t="n">
        <v>39561567.49</v>
      </c>
      <c r="K10" s="269" t="n">
        <v>38972367.12</v>
      </c>
      <c r="L10" s="269" t="n">
        <v>38221747.38</v>
      </c>
      <c r="M10" s="269" t="n">
        <v>37614512.89</v>
      </c>
      <c r="N10" s="269" t="n">
        <v>36881872.23</v>
      </c>
      <c r="O10" s="269" t="n">
        <v>36263088.93</v>
      </c>
      <c r="P10" s="269" t="n">
        <v>35502601.32</v>
      </c>
      <c r="Q10" s="269" t="n">
        <v>34787831.07</v>
      </c>
      <c r="R10" s="269" t="n">
        <v>33505756.49</v>
      </c>
      <c r="S10" s="269" t="n">
        <v>32686448.68</v>
      </c>
      <c r="T10" s="269" t="n">
        <v>30243213.22</v>
      </c>
      <c r="U10" s="269" t="n">
        <v>28699798.34</v>
      </c>
      <c r="V10" s="269" t="n">
        <v>25529541</v>
      </c>
      <c r="W10" s="269" t="n">
        <v>23704130.61</v>
      </c>
      <c r="X10" s="269" t="n">
        <v>20828303.45</v>
      </c>
      <c r="Y10" s="269" t="n">
        <v>18426892.45</v>
      </c>
      <c r="Z10" s="269" t="n">
        <v>16789882.88</v>
      </c>
      <c r="AA10" s="269" t="n">
        <v>15753895.35</v>
      </c>
      <c r="AB10" s="269" t="n">
        <v>14527106.83</v>
      </c>
      <c r="AC10" s="269" t="n">
        <v>13375707.75</v>
      </c>
      <c r="AD10" s="269" t="n">
        <v>11951889.75</v>
      </c>
      <c r="AE10" s="269" t="n">
        <v>9479263.81</v>
      </c>
      <c r="AF10" s="269" t="n">
        <v>7184499.57</v>
      </c>
      <c r="AG10" s="269" t="n">
        <v>4941005.43</v>
      </c>
      <c r="AH10" s="269" t="n">
        <v>3716991.2</v>
      </c>
      <c r="AI10" s="269" t="n">
        <v>2700888.54</v>
      </c>
      <c r="AJ10" s="269" t="n">
        <v>1565814.84</v>
      </c>
      <c r="AK10" s="269" t="n">
        <v>331958.4</v>
      </c>
      <c r="AL10" s="269" t="n">
        <v>0</v>
      </c>
      <c r="AM10" s="269" t="n">
        <v>0</v>
      </c>
      <c r="AN10" s="269" t="n">
        <v>0</v>
      </c>
      <c r="AO10" s="269" t="n">
        <v>0</v>
      </c>
      <c r="AP10" s="269" t="n">
        <v>0</v>
      </c>
      <c r="AQ10" s="269" t="n">
        <v>0</v>
      </c>
      <c r="AR10" s="269" t="n">
        <v>0</v>
      </c>
      <c r="AS10" s="269" t="n">
        <v>0</v>
      </c>
      <c r="AT10" s="269" t="n">
        <v>0</v>
      </c>
      <c r="AU10" s="269" t="n">
        <v>0</v>
      </c>
      <c r="AV10" s="269" t="n">
        <v>0</v>
      </c>
      <c r="AW10" s="269" t="n">
        <v>0</v>
      </c>
      <c r="AX10" s="269" t="n">
        <v>0</v>
      </c>
      <c r="AY10" s="269" t="n">
        <v>0</v>
      </c>
      <c r="AZ10" s="269" t="n">
        <v>0</v>
      </c>
      <c r="BA10" s="269" t="n">
        <v>0</v>
      </c>
      <c r="BB10" s="269" t="n">
        <v>0</v>
      </c>
      <c r="BC10" s="269" t="n">
        <v>0</v>
      </c>
      <c r="BD10" s="269" t="n">
        <v>0</v>
      </c>
      <c r="BE10" s="269" t="n">
        <v>0</v>
      </c>
      <c r="BF10" s="269" t="n">
        <v>0</v>
      </c>
      <c r="BG10" s="269" t="n">
        <v>0</v>
      </c>
      <c r="BH10" s="269" t="n">
        <v>0</v>
      </c>
      <c r="BI10" s="269" t="n">
        <v>0</v>
      </c>
      <c r="BJ10" s="269" t="n">
        <v>0</v>
      </c>
      <c r="BK10" s="269" t="n">
        <v>0</v>
      </c>
      <c r="BL10" s="269" t="n">
        <v>0</v>
      </c>
      <c r="BM10" s="269" t="n">
        <v>0</v>
      </c>
      <c r="BN10" s="269" t="n">
        <v>0</v>
      </c>
      <c r="BO10" s="269" t="n">
        <v>0</v>
      </c>
      <c r="BP10" s="269" t="n">
        <v>0</v>
      </c>
      <c r="BQ10" s="269" t="n">
        <v>0</v>
      </c>
      <c r="BR10" s="269" t="n">
        <v>0</v>
      </c>
      <c r="BS10" s="269" t="n">
        <v>0</v>
      </c>
      <c r="BT10" s="269" t="n">
        <v>0</v>
      </c>
      <c r="BU10" s="269" t="n">
        <v>0</v>
      </c>
      <c r="BV10" s="269" t="n">
        <v>0</v>
      </c>
      <c r="BW10" s="269" t="n">
        <v>0</v>
      </c>
      <c r="BX10" s="269" t="n">
        <v>0</v>
      </c>
      <c r="BY10" s="269" t="n">
        <v>0</v>
      </c>
      <c r="BZ10" s="269" t="n">
        <v>0</v>
      </c>
      <c r="CA10" s="269" t="n">
        <v>0</v>
      </c>
      <c r="CB10" s="269" t="n">
        <v>0</v>
      </c>
      <c r="CC10" s="269" t="n">
        <v>0</v>
      </c>
      <c r="CD10" s="269" t="n">
        <v>0</v>
      </c>
      <c r="CE10" s="269" t="n">
        <v>0</v>
      </c>
      <c r="CF10" s="269" t="n">
        <v>0</v>
      </c>
      <c r="CG10" s="269" t="n">
        <v>0</v>
      </c>
      <c r="CH10" s="269" t="n">
        <v>0</v>
      </c>
      <c r="CI10" s="269" t="n">
        <v>0</v>
      </c>
      <c r="CJ10" s="269" t="n">
        <v>0</v>
      </c>
      <c r="CK10" s="269" t="n">
        <v>0</v>
      </c>
      <c r="CL10" s="269" t="n">
        <v>0</v>
      </c>
      <c r="CM10" s="269" t="n">
        <v>0</v>
      </c>
      <c r="CN10" s="269" t="n">
        <v>0</v>
      </c>
      <c r="CO10" s="269" t="n">
        <v>0</v>
      </c>
      <c r="CP10" s="269" t="n">
        <v>0</v>
      </c>
      <c r="CQ10" s="269" t="n">
        <v>0</v>
      </c>
    </row>
    <row r="11" customFormat="false" ht="15" hidden="false" customHeight="true" outlineLevel="0" collapsed="false">
      <c r="A11" s="187" t="s">
        <v>13</v>
      </c>
      <c r="C11" s="269" t="n">
        <f aca="false">IF(AND(Projects!$G$8="Yes",Projects!$F$8="Yes",1&gt;=Projects!$C$8,1&lt;Projects!$C$8+Projects!$D$8),Projects!$B$8*(1-SUMPRODUCT((Curves!$B$4:$AO$4)*(COLUMN(Curves!$B$4:$AO$4)-COLUMN(Curves!$B$4)+1&lt;=1-Projects!$C$8+1))),0)</f>
        <v>0</v>
      </c>
      <c r="D11" s="269" t="n">
        <f aca="false">IF(AND(Projects!$G$8="Yes",Projects!$F$8="Yes",2&gt;=Projects!$C$8,2&lt;Projects!$C$8+Projects!$D$8),Projects!$B$8*(1-SUMPRODUCT((Curves!$B$4:$AO$4)*(COLUMN(Curves!$B$4:$AO$4)-COLUMN(Curves!$B$4)+1&lt;=2-Projects!$C$8+1))),0)</f>
        <v>0</v>
      </c>
      <c r="E11" s="269" t="n">
        <f aca="false">IF(AND(Projects!$G$8="Yes",Projects!$F$8="Yes",3&gt;=Projects!$C$8,3&lt;Projects!$C$8+Projects!$D$8),Projects!$B$8*(1-SUMPRODUCT((Curves!$B$4:$AO$4)*(COLUMN(Curves!$B$4:$AO$4)-COLUMN(Curves!$B$4)+1&lt;=3-Projects!$C$8+1))),0)</f>
        <v>0</v>
      </c>
      <c r="F11" s="269" t="n">
        <f aca="false">IF(AND(Projects!$G$8="Yes",Projects!$F$8="Yes",4&gt;=Projects!$C$8,4&lt;Projects!$C$8+Projects!$D$8),Projects!$B$8*(1-SUMPRODUCT((Curves!$B$4:$AO$4)*(COLUMN(Curves!$B$4:$AO$4)-COLUMN(Curves!$B$4)+1&lt;=4-Projects!$C$8+1))),0)</f>
        <v>0</v>
      </c>
      <c r="G11" s="269" t="n">
        <f aca="false">IF(AND(Projects!$G$8="Yes",Projects!$F$8="Yes",5&gt;=Projects!$C$8,5&lt;Projects!$C$8+Projects!$D$8),Projects!$B$8*(1-SUMPRODUCT((Curves!$B$4:$AO$4)*(COLUMN(Curves!$B$4:$AO$4)-COLUMN(Curves!$B$4)+1&lt;=5-Projects!$C$8+1))),0)</f>
        <v>0</v>
      </c>
      <c r="H11" s="269" t="n">
        <f aca="false">IF(AND(Projects!$G$8="Yes",Projects!$F$8="Yes",6&gt;=Projects!$C$8,6&lt;Projects!$C$8+Projects!$D$8),Projects!$B$8*(1-SUMPRODUCT((Curves!$B$4:$AO$4)*(COLUMN(Curves!$B$4:$AO$4)-COLUMN(Curves!$B$4)+1&lt;=6-Projects!$C$8+1))),0)</f>
        <v>12649220.0904822</v>
      </c>
      <c r="I11" s="269" t="n">
        <f aca="false">IF(AND(Projects!$G$8="Yes",Projects!$F$8="Yes",7&gt;=Projects!$C$8,7&lt;Projects!$C$8+Projects!$D$8),Projects!$B$8*(1-SUMPRODUCT((Curves!$B$4:$AO$4)*(COLUMN(Curves!$B$4:$AO$4)-COLUMN(Curves!$B$4)+1&lt;=7-Projects!$C$8+1))),0)</f>
        <v>12223530.9933081</v>
      </c>
      <c r="J11" s="269" t="n">
        <f aca="false">IF(AND(Projects!$G$8="Yes",Projects!$F$8="Yes",8&gt;=Projects!$C$8,8&lt;Projects!$C$8+Projects!$D$8),Projects!$B$8*(1-SUMPRODUCT((Curves!$B$4:$AO$4)*(COLUMN(Curves!$B$4:$AO$4)-COLUMN(Curves!$B$4)+1&lt;=8-Projects!$C$8+1))),0)</f>
        <v>11710510.727302</v>
      </c>
      <c r="K11" s="269" t="n">
        <f aca="false">IF(AND(Projects!$G$8="Yes",Projects!$F$8="Yes",9&gt;=Projects!$C$8,9&lt;Projects!$C$8+Projects!$D$8),Projects!$B$8*(1-SUMPRODUCT((Curves!$B$4:$AO$4)*(COLUMN(Curves!$B$4:$AO$4)-COLUMN(Curves!$B$4)+1&lt;=9-Projects!$C$8+1))),0)</f>
        <v>11107443.5932694</v>
      </c>
      <c r="L11" s="269" t="n">
        <f aca="false">IF(AND(Projects!$G$8="Yes",Projects!$F$8="Yes",10&gt;=Projects!$C$8,10&lt;Projects!$C$8+Projects!$D$8),Projects!$B$8*(1-SUMPRODUCT((Curves!$B$4:$AO$4)*(COLUMN(Curves!$B$4:$AO$4)-COLUMN(Curves!$B$4)+1&lt;=10-Projects!$C$8+1))),0)</f>
        <v>10415940.8194405</v>
      </c>
      <c r="M11" s="269" t="n">
        <f aca="false">IF(AND(Projects!$G$8="Yes",Projects!$F$8="Yes",11&gt;=Projects!$C$8,11&lt;Projects!$C$8+Projects!$D$8),Projects!$B$8*(1-SUMPRODUCT((Curves!$B$4:$AO$4)*(COLUMN(Curves!$B$4:$AO$4)-COLUMN(Curves!$B$4)+1&lt;=11-Projects!$C$8+1))),0)</f>
        <v>9642525.2813924</v>
      </c>
      <c r="N11" s="269" t="n">
        <f aca="false">IF(AND(Projects!$G$8="Yes",Projects!$F$8="Yes",12&gt;=Projects!$C$8,12&lt;Projects!$C$8+Projects!$D$8),Projects!$B$8*(1-SUMPRODUCT((Curves!$B$4:$AO$4)*(COLUMN(Curves!$B$4:$AO$4)-COLUMN(Curves!$B$4)+1&lt;=12-Projects!$C$8+1))),0)</f>
        <v>8798748.44603355</v>
      </c>
      <c r="O11" s="269" t="n">
        <f aca="false">IF(AND(Projects!$G$8="Yes",Projects!$F$8="Yes",13&gt;=Projects!$C$8,13&lt;Projects!$C$8+Projects!$D$8),Projects!$B$8*(1-SUMPRODUCT((Curves!$B$4:$AO$4)*(COLUMN(Curves!$B$4:$AO$4)-COLUMN(Curves!$B$4)+1&lt;=13-Projects!$C$8+1))),0)</f>
        <v>7900826.54587435</v>
      </c>
      <c r="P11" s="269" t="n">
        <f aca="false">IF(AND(Projects!$G$8="Yes",Projects!$F$8="Yes",14&gt;=Projects!$C$8,14&lt;Projects!$C$8+Projects!$D$8),Projects!$B$8*(1-SUMPRODUCT((Curves!$B$4:$AO$4)*(COLUMN(Curves!$B$4:$AO$4)-COLUMN(Curves!$B$4)+1&lt;=14-Projects!$C$8+1))),0)</f>
        <v>6968757.00225575</v>
      </c>
      <c r="Q11" s="269" t="n">
        <f aca="false">IF(AND(Projects!$G$8="Yes",Projects!$F$8="Yes",15&gt;=Projects!$C$8,15&lt;Projects!$C$8+Projects!$D$8),Projects!$B$8*(1-SUMPRODUCT((Curves!$B$4:$AO$4)*(COLUMN(Curves!$B$4:$AO$4)-COLUMN(Curves!$B$4)+1&lt;=15-Projects!$C$8+1))),0)</f>
        <v>6025019.04774425</v>
      </c>
      <c r="R11" s="269" t="n">
        <f aca="false">IF(AND(Projects!$G$8="Yes",Projects!$F$8="Yes",16&gt;=Projects!$C$8,16&lt;Projects!$C$8+Projects!$D$8),Projects!$B$8*(1-SUMPRODUCT((Curves!$B$4:$AO$4)*(COLUMN(Curves!$B$4:$AO$4)-COLUMN(Curves!$B$4)+1&lt;=16-Projects!$C$8+1))),0)</f>
        <v>5092949.50412565</v>
      </c>
      <c r="S11" s="269" t="n">
        <f aca="false">IF(AND(Projects!$G$8="Yes",Projects!$F$8="Yes",17&gt;=Projects!$C$8,17&lt;Projects!$C$8+Projects!$D$8),Projects!$B$8*(1-SUMPRODUCT((Curves!$B$4:$AO$4)*(COLUMN(Curves!$B$4:$AO$4)-COLUMN(Curves!$B$4)+1&lt;=17-Projects!$C$8+1))),0)</f>
        <v>4195027.60396645</v>
      </c>
      <c r="T11" s="269" t="n">
        <f aca="false">IF(AND(Projects!$G$8="Yes",Projects!$F$8="Yes",18&gt;=Projects!$C$8,18&lt;Projects!$C$8+Projects!$D$8),Projects!$B$8*(1-SUMPRODUCT((Curves!$B$4:$AO$4)*(COLUMN(Curves!$B$4:$AO$4)-COLUMN(Curves!$B$4)+1&lt;=18-Projects!$C$8+1))),0)</f>
        <v>3351250.7686076</v>
      </c>
      <c r="U11" s="269" t="n">
        <f aca="false">IF(AND(Projects!$G$8="Yes",Projects!$F$8="Yes",19&gt;=Projects!$C$8,19&lt;Projects!$C$8+Projects!$D$8),Projects!$B$8*(1-SUMPRODUCT((Curves!$B$4:$AO$4)*(COLUMN(Curves!$B$4:$AO$4)-COLUMN(Curves!$B$4)+1&lt;=19-Projects!$C$8+1))),0)</f>
        <v>2577835.2305595</v>
      </c>
      <c r="V11" s="269" t="n">
        <f aca="false">IF(AND(Projects!$G$8="Yes",Projects!$F$8="Yes",20&gt;=Projects!$C$8,20&lt;Projects!$C$8+Projects!$D$8),Projects!$B$8*(1-SUMPRODUCT((Curves!$B$4:$AO$4)*(COLUMN(Curves!$B$4:$AO$4)-COLUMN(Curves!$B$4)+1&lt;=20-Projects!$C$8+1))),0)</f>
        <v>1886332.4567306</v>
      </c>
      <c r="W11" s="269" t="n">
        <f aca="false">IF(AND(Projects!$G$8="Yes",Projects!$F$8="Yes",21&gt;=Projects!$C$8,21&lt;Projects!$C$8+Projects!$D$8),Projects!$B$8*(1-SUMPRODUCT((Curves!$B$4:$AO$4)*(COLUMN(Curves!$B$4:$AO$4)-COLUMN(Curves!$B$4)+1&lt;=21-Projects!$C$8+1))),0)</f>
        <v>1283265.322698</v>
      </c>
      <c r="X11" s="269" t="n">
        <f aca="false">IF(AND(Projects!$G$8="Yes",Projects!$F$8="Yes",22&gt;=Projects!$C$8,22&lt;Projects!$C$8+Projects!$D$8),Projects!$B$8*(1-SUMPRODUCT((Curves!$B$4:$AO$4)*(COLUMN(Curves!$B$4:$AO$4)-COLUMN(Curves!$B$4)+1&lt;=22-Projects!$C$8+1))),0)</f>
        <v>770245.056691899</v>
      </c>
      <c r="Y11" s="269" t="n">
        <f aca="false">IF(AND(Projects!$G$8="Yes",Projects!$F$8="Yes",23&gt;=Projects!$C$8,23&lt;Projects!$C$8+Projects!$D$8),Projects!$B$8*(1-SUMPRODUCT((Curves!$B$4:$AO$4)*(COLUMN(Curves!$B$4:$AO$4)-COLUMN(Curves!$B$4)+1&lt;=23-Projects!$C$8+1))),0)</f>
        <v>344555.95951785</v>
      </c>
      <c r="Z11" s="269" t="n">
        <f aca="false">IF(AND(Projects!$G$8="Yes",Projects!$F$8="Yes",24&gt;=Projects!$C$8,24&lt;Projects!$C$8+Projects!$D$8),Projects!$B$8*(1-SUMPRODUCT((Curves!$B$4:$AO$4)*(COLUMN(Curves!$B$4:$AO$4)-COLUMN(Curves!$B$4)+1&lt;=24-Projects!$C$8+1))),0)</f>
        <v>0</v>
      </c>
      <c r="AA11" s="269" t="n">
        <f aca="false">IF(AND(Projects!$G$8="Yes",Projects!$F$8="Yes",25&gt;=Projects!$C$8,25&lt;Projects!$C$8+Projects!$D$8),Projects!$B$8*(1-SUMPRODUCT((Curves!$B$4:$AO$4)*(COLUMN(Curves!$B$4:$AO$4)-COLUMN(Curves!$B$4)+1&lt;=25-Projects!$C$8+1))),0)</f>
        <v>0</v>
      </c>
      <c r="AB11" s="269" t="n">
        <f aca="false">IF(AND(Projects!$G$8="Yes",Projects!$F$8="Yes",26&gt;=Projects!$C$8,26&lt;Projects!$C$8+Projects!$D$8),Projects!$B$8*(1-SUMPRODUCT((Curves!$B$4:$AO$4)*(COLUMN(Curves!$B$4:$AO$4)-COLUMN(Curves!$B$4)+1&lt;=26-Projects!$C$8+1))),0)</f>
        <v>0</v>
      </c>
      <c r="AC11" s="269" t="n">
        <f aca="false">IF(AND(Projects!$G$8="Yes",Projects!$F$8="Yes",27&gt;=Projects!$C$8,27&lt;Projects!$C$8+Projects!$D$8),Projects!$B$8*(1-SUMPRODUCT((Curves!$B$4:$AO$4)*(COLUMN(Curves!$B$4:$AO$4)-COLUMN(Curves!$B$4)+1&lt;=27-Projects!$C$8+1))),0)</f>
        <v>0</v>
      </c>
      <c r="AD11" s="269" t="n">
        <f aca="false">IF(AND(Projects!$G$8="Yes",Projects!$F$8="Yes",28&gt;=Projects!$C$8,28&lt;Projects!$C$8+Projects!$D$8),Projects!$B$8*(1-SUMPRODUCT((Curves!$B$4:$AO$4)*(COLUMN(Curves!$B$4:$AO$4)-COLUMN(Curves!$B$4)+1&lt;=28-Projects!$C$8+1))),0)</f>
        <v>0</v>
      </c>
      <c r="AE11" s="269" t="n">
        <f aca="false">IF(AND(Projects!$G$8="Yes",Projects!$F$8="Yes",29&gt;=Projects!$C$8,29&lt;Projects!$C$8+Projects!$D$8),Projects!$B$8*(1-SUMPRODUCT((Curves!$B$4:$AO$4)*(COLUMN(Curves!$B$4:$AO$4)-COLUMN(Curves!$B$4)+1&lt;=29-Projects!$C$8+1))),0)</f>
        <v>0</v>
      </c>
      <c r="AF11" s="269" t="n">
        <f aca="false">IF(AND(Projects!$G$8="Yes",Projects!$F$8="Yes",30&gt;=Projects!$C$8,30&lt;Projects!$C$8+Projects!$D$8),Projects!$B$8*(1-SUMPRODUCT((Curves!$B$4:$AO$4)*(COLUMN(Curves!$B$4:$AO$4)-COLUMN(Curves!$B$4)+1&lt;=30-Projects!$C$8+1))),0)</f>
        <v>0</v>
      </c>
      <c r="AG11" s="269" t="n">
        <f aca="false">IF(AND(Projects!$G$8="Yes",Projects!$F$8="Yes",31&gt;=Projects!$C$8,31&lt;Projects!$C$8+Projects!$D$8),Projects!$B$8*(1-SUMPRODUCT((Curves!$B$4:$AO$4)*(COLUMN(Curves!$B$4:$AO$4)-COLUMN(Curves!$B$4)+1&lt;=31-Projects!$C$8+1))),0)</f>
        <v>0</v>
      </c>
      <c r="AH11" s="269" t="n">
        <f aca="false">IF(AND(Projects!$G$8="Yes",Projects!$F$8="Yes",32&gt;=Projects!$C$8,32&lt;Projects!$C$8+Projects!$D$8),Projects!$B$8*(1-SUMPRODUCT((Curves!$B$4:$AO$4)*(COLUMN(Curves!$B$4:$AO$4)-COLUMN(Curves!$B$4)+1&lt;=32-Projects!$C$8+1))),0)</f>
        <v>0</v>
      </c>
      <c r="AI11" s="269" t="n">
        <f aca="false">IF(AND(Projects!$G$8="Yes",Projects!$F$8="Yes",33&gt;=Projects!$C$8,33&lt;Projects!$C$8+Projects!$D$8),Projects!$B$8*(1-SUMPRODUCT((Curves!$B$4:$AO$4)*(COLUMN(Curves!$B$4:$AO$4)-COLUMN(Curves!$B$4)+1&lt;=33-Projects!$C$8+1))),0)</f>
        <v>0</v>
      </c>
      <c r="AJ11" s="269" t="n">
        <f aca="false">IF(AND(Projects!$G$8="Yes",Projects!$F$8="Yes",34&gt;=Projects!$C$8,34&lt;Projects!$C$8+Projects!$D$8),Projects!$B$8*(1-SUMPRODUCT((Curves!$B$4:$AO$4)*(COLUMN(Curves!$B$4:$AO$4)-COLUMN(Curves!$B$4)+1&lt;=34-Projects!$C$8+1))),0)</f>
        <v>0</v>
      </c>
      <c r="AK11" s="269" t="n">
        <f aca="false">IF(AND(Projects!$G$8="Yes",Projects!$F$8="Yes",35&gt;=Projects!$C$8,35&lt;Projects!$C$8+Projects!$D$8),Projects!$B$8*(1-SUMPRODUCT((Curves!$B$4:$AO$4)*(COLUMN(Curves!$B$4:$AO$4)-COLUMN(Curves!$B$4)+1&lt;=35-Projects!$C$8+1))),0)</f>
        <v>0</v>
      </c>
      <c r="AL11" s="269" t="n">
        <f aca="false">IF(AND(Projects!$G$8="Yes",Projects!$F$8="Yes",36&gt;=Projects!$C$8,36&lt;Projects!$C$8+Projects!$D$8),Projects!$B$8*(1-SUMPRODUCT((Curves!$B$4:$AO$4)*(COLUMN(Curves!$B$4:$AO$4)-COLUMN(Curves!$B$4)+1&lt;=36-Projects!$C$8+1))),0)</f>
        <v>0</v>
      </c>
      <c r="AM11" s="269" t="n">
        <f aca="false">IF(AND(Projects!$G$8="Yes",Projects!$F$8="Yes",37&gt;=Projects!$C$8,37&lt;Projects!$C$8+Projects!$D$8),Projects!$B$8*(1-SUMPRODUCT((Curves!$B$4:$AO$4)*(COLUMN(Curves!$B$4:$AO$4)-COLUMN(Curves!$B$4)+1&lt;=37-Projects!$C$8+1))),0)</f>
        <v>0</v>
      </c>
      <c r="AN11" s="269" t="n">
        <f aca="false">IF(AND(Projects!$G$8="Yes",Projects!$F$8="Yes",38&gt;=Projects!$C$8,38&lt;Projects!$C$8+Projects!$D$8),Projects!$B$8*(1-SUMPRODUCT((Curves!$B$4:$AO$4)*(COLUMN(Curves!$B$4:$AO$4)-COLUMN(Curves!$B$4)+1&lt;=38-Projects!$C$8+1))),0)</f>
        <v>0</v>
      </c>
      <c r="AO11" s="269" t="n">
        <f aca="false">IF(AND(Projects!$G$8="Yes",Projects!$F$8="Yes",39&gt;=Projects!$C$8,39&lt;Projects!$C$8+Projects!$D$8),Projects!$B$8*(1-SUMPRODUCT((Curves!$B$4:$AO$4)*(COLUMN(Curves!$B$4:$AO$4)-COLUMN(Curves!$B$4)+1&lt;=39-Projects!$C$8+1))),0)</f>
        <v>0</v>
      </c>
      <c r="AP11" s="269" t="n">
        <f aca="false">IF(AND(Projects!$G$8="Yes",Projects!$F$8="Yes",40&gt;=Projects!$C$8,40&lt;Projects!$C$8+Projects!$D$8),Projects!$B$8*(1-SUMPRODUCT((Curves!$B$4:$AO$4)*(COLUMN(Curves!$B$4:$AO$4)-COLUMN(Curves!$B$4)+1&lt;=40-Projects!$C$8+1))),0)</f>
        <v>0</v>
      </c>
      <c r="AQ11" s="269" t="n">
        <f aca="false">IF(AND(Projects!$G$8="Yes",Projects!$F$8="Yes",41&gt;=Projects!$C$8,41&lt;Projects!$C$8+Projects!$D$8),Projects!$B$8*(1-SUMPRODUCT((Curves!$B$4:$AO$4)*(COLUMN(Curves!$B$4:$AO$4)-COLUMN(Curves!$B$4)+1&lt;=41-Projects!$C$8+1))),0)</f>
        <v>0</v>
      </c>
      <c r="AR11" s="269" t="n">
        <f aca="false">IF(AND(Projects!$G$8="Yes",Projects!$F$8="Yes",42&gt;=Projects!$C$8,42&lt;Projects!$C$8+Projects!$D$8),Projects!$B$8*(1-SUMPRODUCT((Curves!$B$4:$AO$4)*(COLUMN(Curves!$B$4:$AO$4)-COLUMN(Curves!$B$4)+1&lt;=42-Projects!$C$8+1))),0)</f>
        <v>0</v>
      </c>
      <c r="AS11" s="269" t="n">
        <f aca="false">IF(AND(Projects!$G$8="Yes",Projects!$F$8="Yes",43&gt;=Projects!$C$8,43&lt;Projects!$C$8+Projects!$D$8),Projects!$B$8*(1-SUMPRODUCT((Curves!$B$4:$AO$4)*(COLUMN(Curves!$B$4:$AO$4)-COLUMN(Curves!$B$4)+1&lt;=43-Projects!$C$8+1))),0)</f>
        <v>0</v>
      </c>
      <c r="AT11" s="269" t="n">
        <f aca="false">IF(AND(Projects!$G$8="Yes",Projects!$F$8="Yes",44&gt;=Projects!$C$8,44&lt;Projects!$C$8+Projects!$D$8),Projects!$B$8*(1-SUMPRODUCT((Curves!$B$4:$AO$4)*(COLUMN(Curves!$B$4:$AO$4)-COLUMN(Curves!$B$4)+1&lt;=44-Projects!$C$8+1))),0)</f>
        <v>0</v>
      </c>
      <c r="AU11" s="269" t="n">
        <f aca="false">IF(AND(Projects!$G$8="Yes",Projects!$F$8="Yes",45&gt;=Projects!$C$8,45&lt;Projects!$C$8+Projects!$D$8),Projects!$B$8*(1-SUMPRODUCT((Curves!$B$4:$AO$4)*(COLUMN(Curves!$B$4:$AO$4)-COLUMN(Curves!$B$4)+1&lt;=45-Projects!$C$8+1))),0)</f>
        <v>0</v>
      </c>
      <c r="AV11" s="269" t="n">
        <f aca="false">IF(AND(Projects!$G$8="Yes",Projects!$F$8="Yes",46&gt;=Projects!$C$8,46&lt;Projects!$C$8+Projects!$D$8),Projects!$B$8*(1-SUMPRODUCT((Curves!$B$4:$AO$4)*(COLUMN(Curves!$B$4:$AO$4)-COLUMN(Curves!$B$4)+1&lt;=46-Projects!$C$8+1))),0)</f>
        <v>0</v>
      </c>
      <c r="AW11" s="269" t="n">
        <f aca="false">IF(AND(Projects!$G$8="Yes",Projects!$F$8="Yes",47&gt;=Projects!$C$8,47&lt;Projects!$C$8+Projects!$D$8),Projects!$B$8*(1-SUMPRODUCT((Curves!$B$4:$AO$4)*(COLUMN(Curves!$B$4:$AO$4)-COLUMN(Curves!$B$4)+1&lt;=47-Projects!$C$8+1))),0)</f>
        <v>0</v>
      </c>
      <c r="AX11" s="269" t="n">
        <f aca="false">IF(AND(Projects!$G$8="Yes",Projects!$F$8="Yes",48&gt;=Projects!$C$8,48&lt;Projects!$C$8+Projects!$D$8),Projects!$B$8*(1-SUMPRODUCT((Curves!$B$4:$AO$4)*(COLUMN(Curves!$B$4:$AO$4)-COLUMN(Curves!$B$4)+1&lt;=48-Projects!$C$8+1))),0)</f>
        <v>0</v>
      </c>
      <c r="AY11" s="269" t="n">
        <f aca="false">IF(AND(Projects!$G$8="Yes",Projects!$F$8="Yes",49&gt;=Projects!$C$8,49&lt;Projects!$C$8+Projects!$D$8),Projects!$B$8*(1-SUMPRODUCT((Curves!$B$4:$AO$4)*(COLUMN(Curves!$B$4:$AO$4)-COLUMN(Curves!$B$4)+1&lt;=49-Projects!$C$8+1))),0)</f>
        <v>0</v>
      </c>
      <c r="AZ11" s="269" t="n">
        <f aca="false">IF(AND(Projects!$G$8="Yes",Projects!$F$8="Yes",50&gt;=Projects!$C$8,50&lt;Projects!$C$8+Projects!$D$8),Projects!$B$8*(1-SUMPRODUCT((Curves!$B$4:$AO$4)*(COLUMN(Curves!$B$4:$AO$4)-COLUMN(Curves!$B$4)+1&lt;=50-Projects!$C$8+1))),0)</f>
        <v>0</v>
      </c>
      <c r="BA11" s="269" t="n">
        <f aca="false">IF(AND(Projects!$G$8="Yes",Projects!$F$8="Yes",51&gt;=Projects!$C$8,51&lt;Projects!$C$8+Projects!$D$8),Projects!$B$8*(1-SUMPRODUCT((Curves!$B$4:$AO$4)*(COLUMN(Curves!$B$4:$AO$4)-COLUMN(Curves!$B$4)+1&lt;=51-Projects!$C$8+1))),0)</f>
        <v>0</v>
      </c>
      <c r="BB11" s="269" t="n">
        <f aca="false">IF(AND(Projects!$G$8="Yes",Projects!$F$8="Yes",52&gt;=Projects!$C$8,52&lt;Projects!$C$8+Projects!$D$8),Projects!$B$8*(1-SUMPRODUCT((Curves!$B$4:$AO$4)*(COLUMN(Curves!$B$4:$AO$4)-COLUMN(Curves!$B$4)+1&lt;=52-Projects!$C$8+1))),0)</f>
        <v>0</v>
      </c>
      <c r="BC11" s="269" t="n">
        <f aca="false">IF(AND(Projects!$G$8="Yes",Projects!$F$8="Yes",53&gt;=Projects!$C$8,53&lt;Projects!$C$8+Projects!$D$8),Projects!$B$8*(1-SUMPRODUCT((Curves!$B$4:$AO$4)*(COLUMN(Curves!$B$4:$AO$4)-COLUMN(Curves!$B$4)+1&lt;=53-Projects!$C$8+1))),0)</f>
        <v>0</v>
      </c>
      <c r="BD11" s="269" t="n">
        <f aca="false">IF(AND(Projects!$G$8="Yes",Projects!$F$8="Yes",54&gt;=Projects!$C$8,54&lt;Projects!$C$8+Projects!$D$8),Projects!$B$8*(1-SUMPRODUCT((Curves!$B$4:$AO$4)*(COLUMN(Curves!$B$4:$AO$4)-COLUMN(Curves!$B$4)+1&lt;=54-Projects!$C$8+1))),0)</f>
        <v>0</v>
      </c>
      <c r="BE11" s="269" t="n">
        <f aca="false">IF(AND(Projects!$G$8="Yes",Projects!$F$8="Yes",55&gt;=Projects!$C$8,55&lt;Projects!$C$8+Projects!$D$8),Projects!$B$8*(1-SUMPRODUCT((Curves!$B$4:$AO$4)*(COLUMN(Curves!$B$4:$AO$4)-COLUMN(Curves!$B$4)+1&lt;=55-Projects!$C$8+1))),0)</f>
        <v>0</v>
      </c>
      <c r="BF11" s="269" t="n">
        <f aca="false">IF(AND(Projects!$G$8="Yes",Projects!$F$8="Yes",56&gt;=Projects!$C$8,56&lt;Projects!$C$8+Projects!$D$8),Projects!$B$8*(1-SUMPRODUCT((Curves!$B$4:$AO$4)*(COLUMN(Curves!$B$4:$AO$4)-COLUMN(Curves!$B$4)+1&lt;=56-Projects!$C$8+1))),0)</f>
        <v>0</v>
      </c>
      <c r="BG11" s="269" t="n">
        <f aca="false">IF(AND(Projects!$G$8="Yes",Projects!$F$8="Yes",57&gt;=Projects!$C$8,57&lt;Projects!$C$8+Projects!$D$8),Projects!$B$8*(1-SUMPRODUCT((Curves!$B$4:$AO$4)*(COLUMN(Curves!$B$4:$AO$4)-COLUMN(Curves!$B$4)+1&lt;=57-Projects!$C$8+1))),0)</f>
        <v>0</v>
      </c>
      <c r="BH11" s="269" t="n">
        <f aca="false">IF(AND(Projects!$G$8="Yes",Projects!$F$8="Yes",58&gt;=Projects!$C$8,58&lt;Projects!$C$8+Projects!$D$8),Projects!$B$8*(1-SUMPRODUCT((Curves!$B$4:$AO$4)*(COLUMN(Curves!$B$4:$AO$4)-COLUMN(Curves!$B$4)+1&lt;=58-Projects!$C$8+1))),0)</f>
        <v>0</v>
      </c>
      <c r="BI11" s="269" t="n">
        <f aca="false">IF(AND(Projects!$G$8="Yes",Projects!$F$8="Yes",59&gt;=Projects!$C$8,59&lt;Projects!$C$8+Projects!$D$8),Projects!$B$8*(1-SUMPRODUCT((Curves!$B$4:$AO$4)*(COLUMN(Curves!$B$4:$AO$4)-COLUMN(Curves!$B$4)+1&lt;=59-Projects!$C$8+1))),0)</f>
        <v>0</v>
      </c>
      <c r="BJ11" s="269" t="n">
        <f aca="false">IF(AND(Projects!$G$8="Yes",Projects!$F$8="Yes",60&gt;=Projects!$C$8,60&lt;Projects!$C$8+Projects!$D$8),Projects!$B$8*(1-SUMPRODUCT((Curves!$B$4:$AO$4)*(COLUMN(Curves!$B$4:$AO$4)-COLUMN(Curves!$B$4)+1&lt;=60-Projects!$C$8+1))),0)</f>
        <v>0</v>
      </c>
      <c r="BK11" s="269" t="n">
        <f aca="false">IF(AND(Projects!$G$8="Yes",Projects!$F$8="Yes",61&gt;=Projects!$C$8,61&lt;Projects!$C$8+Projects!$D$8),Projects!$B$8*(1-SUMPRODUCT((Curves!$B$4:$AO$4)*(COLUMN(Curves!$B$4:$AO$4)-COLUMN(Curves!$B$4)+1&lt;=61-Projects!$C$8+1))),0)</f>
        <v>0</v>
      </c>
      <c r="BL11" s="269" t="n">
        <f aca="false">IF(AND(Projects!$G$8="Yes",Projects!$F$8="Yes",62&gt;=Projects!$C$8,62&lt;Projects!$C$8+Projects!$D$8),Projects!$B$8*(1-SUMPRODUCT((Curves!$B$4:$AO$4)*(COLUMN(Curves!$B$4:$AO$4)-COLUMN(Curves!$B$4)+1&lt;=62-Projects!$C$8+1))),0)</f>
        <v>0</v>
      </c>
      <c r="BM11" s="269" t="n">
        <f aca="false">IF(AND(Projects!$G$8="Yes",Projects!$F$8="Yes",63&gt;=Projects!$C$8,63&lt;Projects!$C$8+Projects!$D$8),Projects!$B$8*(1-SUMPRODUCT((Curves!$B$4:$AO$4)*(COLUMN(Curves!$B$4:$AO$4)-COLUMN(Curves!$B$4)+1&lt;=63-Projects!$C$8+1))),0)</f>
        <v>0</v>
      </c>
      <c r="BN11" s="269" t="n">
        <f aca="false">IF(AND(Projects!$G$8="Yes",Projects!$F$8="Yes",64&gt;=Projects!$C$8,64&lt;Projects!$C$8+Projects!$D$8),Projects!$B$8*(1-SUMPRODUCT((Curves!$B$4:$AO$4)*(COLUMN(Curves!$B$4:$AO$4)-COLUMN(Curves!$B$4)+1&lt;=64-Projects!$C$8+1))),0)</f>
        <v>0</v>
      </c>
      <c r="BO11" s="269" t="n">
        <f aca="false">IF(AND(Projects!$G$8="Yes",Projects!$F$8="Yes",65&gt;=Projects!$C$8,65&lt;Projects!$C$8+Projects!$D$8),Projects!$B$8*(1-SUMPRODUCT((Curves!$B$4:$AO$4)*(COLUMN(Curves!$B$4:$AO$4)-COLUMN(Curves!$B$4)+1&lt;=65-Projects!$C$8+1))),0)</f>
        <v>0</v>
      </c>
      <c r="BP11" s="269" t="n">
        <f aca="false">IF(AND(Projects!$G$8="Yes",Projects!$F$8="Yes",66&gt;=Projects!$C$8,66&lt;Projects!$C$8+Projects!$D$8),Projects!$B$8*(1-SUMPRODUCT((Curves!$B$4:$AO$4)*(COLUMN(Curves!$B$4:$AO$4)-COLUMN(Curves!$B$4)+1&lt;=66-Projects!$C$8+1))),0)</f>
        <v>0</v>
      </c>
      <c r="BQ11" s="269" t="n">
        <f aca="false">IF(AND(Projects!$G$8="Yes",Projects!$F$8="Yes",67&gt;=Projects!$C$8,67&lt;Projects!$C$8+Projects!$D$8),Projects!$B$8*(1-SUMPRODUCT((Curves!$B$4:$AO$4)*(COLUMN(Curves!$B$4:$AO$4)-COLUMN(Curves!$B$4)+1&lt;=67-Projects!$C$8+1))),0)</f>
        <v>0</v>
      </c>
      <c r="BR11" s="269" t="n">
        <f aca="false">IF(AND(Projects!$G$8="Yes",Projects!$F$8="Yes",68&gt;=Projects!$C$8,68&lt;Projects!$C$8+Projects!$D$8),Projects!$B$8*(1-SUMPRODUCT((Curves!$B$4:$AO$4)*(COLUMN(Curves!$B$4:$AO$4)-COLUMN(Curves!$B$4)+1&lt;=68-Projects!$C$8+1))),0)</f>
        <v>0</v>
      </c>
      <c r="BS11" s="269" t="n">
        <f aca="false">IF(AND(Projects!$G$8="Yes",Projects!$F$8="Yes",69&gt;=Projects!$C$8,69&lt;Projects!$C$8+Projects!$D$8),Projects!$B$8*(1-SUMPRODUCT((Curves!$B$4:$AO$4)*(COLUMN(Curves!$B$4:$AO$4)-COLUMN(Curves!$B$4)+1&lt;=69-Projects!$C$8+1))),0)</f>
        <v>0</v>
      </c>
      <c r="BT11" s="269" t="n">
        <f aca="false">IF(AND(Projects!$G$8="Yes",Projects!$F$8="Yes",70&gt;=Projects!$C$8,70&lt;Projects!$C$8+Projects!$D$8),Projects!$B$8*(1-SUMPRODUCT((Curves!$B$4:$AO$4)*(COLUMN(Curves!$B$4:$AO$4)-COLUMN(Curves!$B$4)+1&lt;=70-Projects!$C$8+1))),0)</f>
        <v>0</v>
      </c>
      <c r="BU11" s="269" t="n">
        <f aca="false">IF(AND(Projects!$G$8="Yes",Projects!$F$8="Yes",71&gt;=Projects!$C$8,71&lt;Projects!$C$8+Projects!$D$8),Projects!$B$8*(1-SUMPRODUCT((Curves!$B$4:$AO$4)*(COLUMN(Curves!$B$4:$AO$4)-COLUMN(Curves!$B$4)+1&lt;=71-Projects!$C$8+1))),0)</f>
        <v>0</v>
      </c>
      <c r="BV11" s="269" t="n">
        <f aca="false">IF(AND(Projects!$G$8="Yes",Projects!$F$8="Yes",72&gt;=Projects!$C$8,72&lt;Projects!$C$8+Projects!$D$8),Projects!$B$8*(1-SUMPRODUCT((Curves!$B$4:$AO$4)*(COLUMN(Curves!$B$4:$AO$4)-COLUMN(Curves!$B$4)+1&lt;=72-Projects!$C$8+1))),0)</f>
        <v>0</v>
      </c>
      <c r="BW11" s="269" t="n">
        <f aca="false">IF(AND(Projects!$G$8="Yes",Projects!$F$8="Yes",73&gt;=Projects!$C$8,73&lt;Projects!$C$8+Projects!$D$8),Projects!$B$8*(1-SUMPRODUCT((Curves!$B$4:$AO$4)*(COLUMN(Curves!$B$4:$AO$4)-COLUMN(Curves!$B$4)+1&lt;=73-Projects!$C$8+1))),0)</f>
        <v>0</v>
      </c>
      <c r="BX11" s="269" t="n">
        <f aca="false">IF(AND(Projects!$G$8="Yes",Projects!$F$8="Yes",74&gt;=Projects!$C$8,74&lt;Projects!$C$8+Projects!$D$8),Projects!$B$8*(1-SUMPRODUCT((Curves!$B$4:$AO$4)*(COLUMN(Curves!$B$4:$AO$4)-COLUMN(Curves!$B$4)+1&lt;=74-Projects!$C$8+1))),0)</f>
        <v>0</v>
      </c>
      <c r="BY11" s="269" t="n">
        <f aca="false">IF(AND(Projects!$G$8="Yes",Projects!$F$8="Yes",75&gt;=Projects!$C$8,75&lt;Projects!$C$8+Projects!$D$8),Projects!$B$8*(1-SUMPRODUCT((Curves!$B$4:$AO$4)*(COLUMN(Curves!$B$4:$AO$4)-COLUMN(Curves!$B$4)+1&lt;=75-Projects!$C$8+1))),0)</f>
        <v>0</v>
      </c>
      <c r="BZ11" s="269" t="n">
        <f aca="false">IF(AND(Projects!$G$8="Yes",Projects!$F$8="Yes",76&gt;=Projects!$C$8,76&lt;Projects!$C$8+Projects!$D$8),Projects!$B$8*(1-SUMPRODUCT((Curves!$B$4:$AO$4)*(COLUMN(Curves!$B$4:$AO$4)-COLUMN(Curves!$B$4)+1&lt;=76-Projects!$C$8+1))),0)</f>
        <v>0</v>
      </c>
      <c r="CA11" s="269" t="n">
        <f aca="false">IF(AND(Projects!$G$8="Yes",Projects!$F$8="Yes",77&gt;=Projects!$C$8,77&lt;Projects!$C$8+Projects!$D$8),Projects!$B$8*(1-SUMPRODUCT((Curves!$B$4:$AO$4)*(COLUMN(Curves!$B$4:$AO$4)-COLUMN(Curves!$B$4)+1&lt;=77-Projects!$C$8+1))),0)</f>
        <v>0</v>
      </c>
      <c r="CB11" s="269" t="n">
        <f aca="false">IF(AND(Projects!$G$8="Yes",Projects!$F$8="Yes",78&gt;=Projects!$C$8,78&lt;Projects!$C$8+Projects!$D$8),Projects!$B$8*(1-SUMPRODUCT((Curves!$B$4:$AO$4)*(COLUMN(Curves!$B$4:$AO$4)-COLUMN(Curves!$B$4)+1&lt;=78-Projects!$C$8+1))),0)</f>
        <v>0</v>
      </c>
      <c r="CC11" s="269" t="n">
        <f aca="false">IF(AND(Projects!$G$8="Yes",Projects!$F$8="Yes",79&gt;=Projects!$C$8,79&lt;Projects!$C$8+Projects!$D$8),Projects!$B$8*(1-SUMPRODUCT((Curves!$B$4:$AO$4)*(COLUMN(Curves!$B$4:$AO$4)-COLUMN(Curves!$B$4)+1&lt;=79-Projects!$C$8+1))),0)</f>
        <v>0</v>
      </c>
      <c r="CD11" s="269" t="n">
        <f aca="false">IF(AND(Projects!$G$8="Yes",Projects!$F$8="Yes",80&gt;=Projects!$C$8,80&lt;Projects!$C$8+Projects!$D$8),Projects!$B$8*(1-SUMPRODUCT((Curves!$B$4:$AO$4)*(COLUMN(Curves!$B$4:$AO$4)-COLUMN(Curves!$B$4)+1&lt;=80-Projects!$C$8+1))),0)</f>
        <v>0</v>
      </c>
      <c r="CE11" s="269" t="n">
        <f aca="false">IF(AND(Projects!$G$8="Yes",Projects!$F$8="Yes",81&gt;=Projects!$C$8,81&lt;Projects!$C$8+Projects!$D$8),Projects!$B$8*(1-SUMPRODUCT((Curves!$B$4:$AO$4)*(COLUMN(Curves!$B$4:$AO$4)-COLUMN(Curves!$B$4)+1&lt;=81-Projects!$C$8+1))),0)</f>
        <v>0</v>
      </c>
      <c r="CF11" s="269" t="n">
        <f aca="false">IF(AND(Projects!$G$8="Yes",Projects!$F$8="Yes",82&gt;=Projects!$C$8,82&lt;Projects!$C$8+Projects!$D$8),Projects!$B$8*(1-SUMPRODUCT((Curves!$B$4:$AO$4)*(COLUMN(Curves!$B$4:$AO$4)-COLUMN(Curves!$B$4)+1&lt;=82-Projects!$C$8+1))),0)</f>
        <v>0</v>
      </c>
      <c r="CG11" s="269" t="n">
        <f aca="false">IF(AND(Projects!$G$8="Yes",Projects!$F$8="Yes",83&gt;=Projects!$C$8,83&lt;Projects!$C$8+Projects!$D$8),Projects!$B$8*(1-SUMPRODUCT((Curves!$B$4:$AO$4)*(COLUMN(Curves!$B$4:$AO$4)-COLUMN(Curves!$B$4)+1&lt;=83-Projects!$C$8+1))),0)</f>
        <v>0</v>
      </c>
      <c r="CH11" s="269" t="n">
        <f aca="false">IF(AND(Projects!$G$8="Yes",Projects!$F$8="Yes",84&gt;=Projects!$C$8,84&lt;Projects!$C$8+Projects!$D$8),Projects!$B$8*(1-SUMPRODUCT((Curves!$B$4:$AO$4)*(COLUMN(Curves!$B$4:$AO$4)-COLUMN(Curves!$B$4)+1&lt;=84-Projects!$C$8+1))),0)</f>
        <v>0</v>
      </c>
      <c r="CI11" s="269" t="n">
        <f aca="false">IF(AND(Projects!$G$8="Yes",Projects!$F$8="Yes",85&gt;=Projects!$C$8,85&lt;Projects!$C$8+Projects!$D$8),Projects!$B$8*(1-SUMPRODUCT((Curves!$B$4:$AO$4)*(COLUMN(Curves!$B$4:$AO$4)-COLUMN(Curves!$B$4)+1&lt;=85-Projects!$C$8+1))),0)</f>
        <v>0</v>
      </c>
      <c r="CJ11" s="269" t="n">
        <f aca="false">IF(AND(Projects!$G$8="Yes",Projects!$F$8="Yes",86&gt;=Projects!$C$8,86&lt;Projects!$C$8+Projects!$D$8),Projects!$B$8*(1-SUMPRODUCT((Curves!$B$4:$AO$4)*(COLUMN(Curves!$B$4:$AO$4)-COLUMN(Curves!$B$4)+1&lt;=86-Projects!$C$8+1))),0)</f>
        <v>0</v>
      </c>
      <c r="CK11" s="269" t="n">
        <f aca="false">IF(AND(Projects!$G$8="Yes",Projects!$F$8="Yes",87&gt;=Projects!$C$8,87&lt;Projects!$C$8+Projects!$D$8),Projects!$B$8*(1-SUMPRODUCT((Curves!$B$4:$AO$4)*(COLUMN(Curves!$B$4:$AO$4)-COLUMN(Curves!$B$4)+1&lt;=87-Projects!$C$8+1))),0)</f>
        <v>0</v>
      </c>
      <c r="CL11" s="269" t="n">
        <f aca="false">IF(AND(Projects!$G$8="Yes",Projects!$F$8="Yes",88&gt;=Projects!$C$8,88&lt;Projects!$C$8+Projects!$D$8),Projects!$B$8*(1-SUMPRODUCT((Curves!$B$4:$AO$4)*(COLUMN(Curves!$B$4:$AO$4)-COLUMN(Curves!$B$4)+1&lt;=88-Projects!$C$8+1))),0)</f>
        <v>0</v>
      </c>
      <c r="CM11" s="269" t="n">
        <f aca="false">IF(AND(Projects!$G$8="Yes",Projects!$F$8="Yes",89&gt;=Projects!$C$8,89&lt;Projects!$C$8+Projects!$D$8),Projects!$B$8*(1-SUMPRODUCT((Curves!$B$4:$AO$4)*(COLUMN(Curves!$B$4:$AO$4)-COLUMN(Curves!$B$4)+1&lt;=89-Projects!$C$8+1))),0)</f>
        <v>0</v>
      </c>
      <c r="CN11" s="269" t="n">
        <f aca="false">IF(AND(Projects!$G$8="Yes",Projects!$F$8="Yes",90&gt;=Projects!$C$8,90&lt;Projects!$C$8+Projects!$D$8),Projects!$B$8*(1-SUMPRODUCT((Curves!$B$4:$AO$4)*(COLUMN(Curves!$B$4:$AO$4)-COLUMN(Curves!$B$4)+1&lt;=90-Projects!$C$8+1))),0)</f>
        <v>0</v>
      </c>
      <c r="CO11" s="269" t="n">
        <f aca="false">IF(AND(Projects!$G$8="Yes",Projects!$F$8="Yes",91&gt;=Projects!$C$8,91&lt;Projects!$C$8+Projects!$D$8),Projects!$B$8*(1-SUMPRODUCT((Curves!$B$4:$AO$4)*(COLUMN(Curves!$B$4:$AO$4)-COLUMN(Curves!$B$4)+1&lt;=91-Projects!$C$8+1))),0)</f>
        <v>0</v>
      </c>
      <c r="CP11" s="269" t="n">
        <f aca="false">IF(AND(Projects!$G$8="Yes",Projects!$F$8="Yes",92&gt;=Projects!$C$8,92&lt;Projects!$C$8+Projects!$D$8),Projects!$B$8*(1-SUMPRODUCT((Curves!$B$4:$AO$4)*(COLUMN(Curves!$B$4:$AO$4)-COLUMN(Curves!$B$4)+1&lt;=92-Projects!$C$8+1))),0)</f>
        <v>0</v>
      </c>
      <c r="CQ11" s="269" t="n">
        <f aca="false">IF(AND(Projects!$G$8="Yes",Projects!$F$8="Yes",93&gt;=Projects!$C$8,93&lt;Projects!$C$8+Projects!$D$8),Projects!$B$8*(1-SUMPRODUCT((Curves!$B$4:$AO$4)*(COLUMN(Curves!$B$4:$AO$4)-COLUMN(Curves!$B$4)+1&lt;=93-Projects!$C$8+1))),0)</f>
        <v>0</v>
      </c>
    </row>
    <row r="12" customFormat="false" ht="15" hidden="false" customHeight="true" outlineLevel="0" collapsed="false">
      <c r="A12" s="187" t="s">
        <v>14</v>
      </c>
      <c r="C12" s="269" t="n">
        <f aca="false">IF(AND(Projects!$G$9="Yes",Projects!$F$9="Yes",1&gt;=Projects!$C$9,1&lt;Projects!$C$9+Projects!$D$9),Projects!$B$9*(1-SUMPRODUCT((Curves!$B$2:$AO$2)*(COLUMN(Curves!$B$2:$AO$2)-COLUMN(Curves!$B$2)+1&lt;=1-Projects!$C$9+1))),0)</f>
        <v>0</v>
      </c>
      <c r="D12" s="269" t="n">
        <f aca="false">IF(AND(Projects!$G$9="Yes",Projects!$F$9="Yes",2&gt;=Projects!$C$9,2&lt;Projects!$C$9+Projects!$D$9),Projects!$B$9*(1-SUMPRODUCT((Curves!$B$2:$AO$2)*(COLUMN(Curves!$B$2:$AO$2)-COLUMN(Curves!$B$2)+1&lt;=2-Projects!$C$9+1))),0)</f>
        <v>0</v>
      </c>
      <c r="E12" s="269" t="n">
        <f aca="false">IF(AND(Projects!$G$9="Yes",Projects!$F$9="Yes",3&gt;=Projects!$C$9,3&lt;Projects!$C$9+Projects!$D$9),Projects!$B$9*(1-SUMPRODUCT((Curves!$B$2:$AO$2)*(COLUMN(Curves!$B$2:$AO$2)-COLUMN(Curves!$B$2)+1&lt;=3-Projects!$C$9+1))),0)</f>
        <v>0</v>
      </c>
      <c r="F12" s="269" t="n">
        <f aca="false">IF(AND(Projects!$G$9="Yes",Projects!$F$9="Yes",4&gt;=Projects!$C$9,4&lt;Projects!$C$9+Projects!$D$9),Projects!$B$9*(1-SUMPRODUCT((Curves!$B$2:$AO$2)*(COLUMN(Curves!$B$2:$AO$2)-COLUMN(Curves!$B$2)+1&lt;=4-Projects!$C$9+1))),0)</f>
        <v>0</v>
      </c>
      <c r="G12" s="269" t="n">
        <f aca="false">IF(AND(Projects!$G$9="Yes",Projects!$F$9="Yes",5&gt;=Projects!$C$9,5&lt;Projects!$C$9+Projects!$D$9),Projects!$B$9*(1-SUMPRODUCT((Curves!$B$2:$AO$2)*(COLUMN(Curves!$B$2:$AO$2)-COLUMN(Curves!$B$2)+1&lt;=5-Projects!$C$9+1))),0)</f>
        <v>14106170.5891092</v>
      </c>
      <c r="H12" s="269" t="n">
        <f aca="false">IF(AND(Projects!$G$9="Yes",Projects!$F$9="Yes",6&gt;=Projects!$C$9,6&lt;Projects!$C$9+Projects!$D$9),Projects!$B$9*(1-SUMPRODUCT((Curves!$B$2:$AO$2)*(COLUMN(Curves!$B$2:$AO$2)-COLUMN(Curves!$B$2)+1&lt;=6-Projects!$C$9+1))),0)</f>
        <v>13840677.8231148</v>
      </c>
      <c r="I12" s="269" t="n">
        <f aca="false">IF(AND(Projects!$G$9="Yes",Projects!$F$9="Yes",7&gt;=Projects!$C$9,7&lt;Projects!$C$9+Projects!$D$9),Projects!$B$9*(1-SUMPRODUCT((Curves!$B$2:$AO$2)*(COLUMN(Curves!$B$2:$AO$2)-COLUMN(Curves!$B$2)+1&lt;=7-Projects!$C$9+1))),0)</f>
        <v>13538353.2763752</v>
      </c>
      <c r="J12" s="269" t="n">
        <f aca="false">IF(AND(Projects!$G$9="Yes",Projects!$F$9="Yes",8&gt;=Projects!$C$9,8&lt;Projects!$C$9+Projects!$D$9),Projects!$B$9*(1-SUMPRODUCT((Curves!$B$2:$AO$2)*(COLUMN(Curves!$B$2:$AO$2)-COLUMN(Curves!$B$2)+1&lt;=8-Projects!$C$9+1))),0)</f>
        <v>13197519.5186268</v>
      </c>
      <c r="K12" s="269" t="n">
        <f aca="false">IF(AND(Projects!$G$9="Yes",Projects!$F$9="Yes",9&gt;=Projects!$C$9,9&lt;Projects!$C$9+Projects!$D$9),Projects!$B$9*(1-SUMPRODUCT((Curves!$B$2:$AO$2)*(COLUMN(Curves!$B$2:$AO$2)-COLUMN(Curves!$B$2)+1&lt;=9-Projects!$C$9+1))),0)</f>
        <v>12817086.9370488</v>
      </c>
      <c r="L12" s="269" t="n">
        <f aca="false">IF(AND(Projects!$G$9="Yes",Projects!$F$9="Yes",10&gt;=Projects!$C$9,10&lt;Projects!$C$9+Projects!$D$9),Projects!$B$9*(1-SUMPRODUCT((Curves!$B$2:$AO$2)*(COLUMN(Curves!$B$2:$AO$2)-COLUMN(Curves!$B$2)+1&lt;=10-Projects!$C$9+1))),0)</f>
        <v>12396682.7693604</v>
      </c>
      <c r="M12" s="269" t="n">
        <f aca="false">IF(AND(Projects!$G$9="Yes",Projects!$F$9="Yes",11&gt;=Projects!$C$9,11&lt;Projects!$C$9+Projects!$D$9),Projects!$B$9*(1-SUMPRODUCT((Curves!$B$2:$AO$2)*(COLUMN(Curves!$B$2:$AO$2)-COLUMN(Curves!$B$2)+1&lt;=11-Projects!$C$9+1))),0)</f>
        <v>11936722.7888748</v>
      </c>
      <c r="N12" s="269" t="n">
        <f aca="false">IF(AND(Projects!$G$9="Yes",Projects!$F$9="Yes",12&gt;=Projects!$C$9,12&lt;Projects!$C$9+Projects!$D$9),Projects!$B$9*(1-SUMPRODUCT((Curves!$B$2:$AO$2)*(COLUMN(Curves!$B$2:$AO$2)-COLUMN(Curves!$B$2)+1&lt;=12-Projects!$C$9+1))),0)</f>
        <v>11438482.9895532</v>
      </c>
      <c r="O12" s="269" t="n">
        <f aca="false">IF(AND(Projects!$G$9="Yes",Projects!$F$9="Yes",13&gt;=Projects!$C$9,13&lt;Projects!$C$9+Projects!$D$9),Projects!$B$9*(1-SUMPRODUCT((Curves!$B$2:$AO$2)*(COLUMN(Curves!$B$2:$AO$2)-COLUMN(Curves!$B$2)+1&lt;=13-Projects!$C$9+1))),0)</f>
        <v>10904156.934048</v>
      </c>
      <c r="P12" s="269" t="n">
        <f aca="false">IF(AND(Projects!$G$9="Yes",Projects!$F$9="Yes",14&gt;=Projects!$C$9,14&lt;Projects!$C$9+Projects!$D$9),Projects!$B$9*(1-SUMPRODUCT((Curves!$B$2:$AO$2)*(COLUMN(Curves!$B$2:$AO$2)-COLUMN(Curves!$B$2)+1&lt;=14-Projects!$C$9+1))),0)</f>
        <v>10336812.7426704</v>
      </c>
      <c r="Q12" s="269" t="n">
        <f aca="false">IF(AND(Projects!$G$9="Yes",Projects!$F$9="Yes",15&gt;=Projects!$C$9,15&lt;Projects!$C$9+Projects!$D$9),Projects!$B$9*(1-SUMPRODUCT((Curves!$B$2:$AO$2)*(COLUMN(Curves!$B$2:$AO$2)-COLUMN(Curves!$B$2)+1&lt;=15-Projects!$C$9+1))),0)</f>
        <v>9740407.4304012</v>
      </c>
      <c r="R12" s="269" t="n">
        <f aca="false">IF(AND(Projects!$G$9="Yes",Projects!$F$9="Yes",16&gt;=Projects!$C$9,16&lt;Projects!$C$9+Projects!$D$9),Projects!$B$9*(1-SUMPRODUCT((Curves!$B$2:$AO$2)*(COLUMN(Curves!$B$2:$AO$2)-COLUMN(Curves!$B$2)+1&lt;=16-Projects!$C$9+1))),0)</f>
        <v>9119686.5478152</v>
      </c>
      <c r="S12" s="269" t="n">
        <f aca="false">IF(AND(Projects!$G$9="Yes",Projects!$F$9="Yes",17&gt;=Projects!$C$9,17&lt;Projects!$C$9+Projects!$D$9),Projects!$B$9*(1-SUMPRODUCT((Curves!$B$2:$AO$2)*(COLUMN(Curves!$B$2:$AO$2)-COLUMN(Curves!$B$2)+1&lt;=17-Projects!$C$9+1))),0)</f>
        <v>8480069.4849948</v>
      </c>
      <c r="T12" s="269" t="n">
        <f aca="false">IF(AND(Projects!$G$9="Yes",Projects!$F$9="Yes",18&gt;=Projects!$C$9,18&lt;Projects!$C$9+Projects!$D$9),Projects!$B$9*(1-SUMPRODUCT((Curves!$B$2:$AO$2)*(COLUMN(Curves!$B$2:$AO$2)-COLUMN(Curves!$B$2)+1&lt;=18-Projects!$C$9+1))),0)</f>
        <v>7827549.1124544</v>
      </c>
      <c r="U12" s="269" t="n">
        <f aca="false">IF(AND(Projects!$G$9="Yes",Projects!$F$9="Yes",19&gt;=Projects!$C$9,19&lt;Projects!$C$9+Projects!$D$9),Projects!$B$9*(1-SUMPRODUCT((Curves!$B$2:$AO$2)*(COLUMN(Curves!$B$2:$AO$2)-COLUMN(Curves!$B$2)+1&lt;=19-Projects!$C$9+1))),0)</f>
        <v>7168476.7259784</v>
      </c>
      <c r="V12" s="269" t="n">
        <f aca="false">IF(AND(Projects!$G$9="Yes",Projects!$F$9="Yes",20&gt;=Projects!$C$9,20&lt;Projects!$C$9+Projects!$D$9),Projects!$B$9*(1-SUMPRODUCT((Curves!$B$2:$AO$2)*(COLUMN(Curves!$B$2:$AO$2)-COLUMN(Curves!$B$2)+1&lt;=20-Projects!$C$9+1))),0)</f>
        <v>6509404.3395024</v>
      </c>
      <c r="W12" s="269" t="n">
        <f aca="false">IF(AND(Projects!$G$9="Yes",Projects!$F$9="Yes",21&gt;=Projects!$C$9,21&lt;Projects!$C$9+Projects!$D$9),Projects!$B$9*(1-SUMPRODUCT((Curves!$B$2:$AO$2)*(COLUMN(Curves!$B$2:$AO$2)-COLUMN(Curves!$B$2)+1&lt;=21-Projects!$C$9+1))),0)</f>
        <v>5856883.966962</v>
      </c>
      <c r="X12" s="269" t="n">
        <f aca="false">IF(AND(Projects!$G$9="Yes",Projects!$F$9="Yes",22&gt;=Projects!$C$9,22&lt;Projects!$C$9+Projects!$D$9),Projects!$B$9*(1-SUMPRODUCT((Curves!$B$2:$AO$2)*(COLUMN(Curves!$B$2:$AO$2)-COLUMN(Curves!$B$2)+1&lt;=22-Projects!$C$9+1))),0)</f>
        <v>5217266.9041416</v>
      </c>
      <c r="Y12" s="269" t="n">
        <f aca="false">IF(AND(Projects!$G$9="Yes",Projects!$F$9="Yes",23&gt;=Projects!$C$9,23&lt;Projects!$C$9+Projects!$D$9),Projects!$B$9*(1-SUMPRODUCT((Curves!$B$2:$AO$2)*(COLUMN(Curves!$B$2:$AO$2)-COLUMN(Curves!$B$2)+1&lt;=23-Projects!$C$9+1))),0)</f>
        <v>4596546.0215556</v>
      </c>
      <c r="Z12" s="269" t="n">
        <f aca="false">IF(AND(Projects!$G$9="Yes",Projects!$F$9="Yes",24&gt;=Projects!$C$9,24&lt;Projects!$C$9+Projects!$D$9),Projects!$B$9*(1-SUMPRODUCT((Curves!$B$2:$AO$2)*(COLUMN(Curves!$B$2:$AO$2)-COLUMN(Curves!$B$2)+1&lt;=24-Projects!$C$9+1))),0)</f>
        <v>0</v>
      </c>
      <c r="AA12" s="269" t="n">
        <f aca="false">IF(AND(Projects!$G$9="Yes",Projects!$F$9="Yes",25&gt;=Projects!$C$9,25&lt;Projects!$C$9+Projects!$D$9),Projects!$B$9*(1-SUMPRODUCT((Curves!$B$2:$AO$2)*(COLUMN(Curves!$B$2:$AO$2)-COLUMN(Curves!$B$2)+1&lt;=25-Projects!$C$9+1))),0)</f>
        <v>0</v>
      </c>
      <c r="AB12" s="269" t="n">
        <f aca="false">IF(AND(Projects!$G$9="Yes",Projects!$F$9="Yes",26&gt;=Projects!$C$9,26&lt;Projects!$C$9+Projects!$D$9),Projects!$B$9*(1-SUMPRODUCT((Curves!$B$2:$AO$2)*(COLUMN(Curves!$B$2:$AO$2)-COLUMN(Curves!$B$2)+1&lt;=26-Projects!$C$9+1))),0)</f>
        <v>0</v>
      </c>
      <c r="AC12" s="269" t="n">
        <f aca="false">IF(AND(Projects!$G$9="Yes",Projects!$F$9="Yes",27&gt;=Projects!$C$9,27&lt;Projects!$C$9+Projects!$D$9),Projects!$B$9*(1-SUMPRODUCT((Curves!$B$2:$AO$2)*(COLUMN(Curves!$B$2:$AO$2)-COLUMN(Curves!$B$2)+1&lt;=27-Projects!$C$9+1))),0)</f>
        <v>0</v>
      </c>
      <c r="AD12" s="269" t="n">
        <f aca="false">IF(AND(Projects!$G$9="Yes",Projects!$F$9="Yes",28&gt;=Projects!$C$9,28&lt;Projects!$C$9+Projects!$D$9),Projects!$B$9*(1-SUMPRODUCT((Curves!$B$2:$AO$2)*(COLUMN(Curves!$B$2:$AO$2)-COLUMN(Curves!$B$2)+1&lt;=28-Projects!$C$9+1))),0)</f>
        <v>0</v>
      </c>
      <c r="AE12" s="269" t="n">
        <f aca="false">IF(AND(Projects!$G$9="Yes",Projects!$F$9="Yes",29&gt;=Projects!$C$9,29&lt;Projects!$C$9+Projects!$D$9),Projects!$B$9*(1-SUMPRODUCT((Curves!$B$2:$AO$2)*(COLUMN(Curves!$B$2:$AO$2)-COLUMN(Curves!$B$2)+1&lt;=29-Projects!$C$9+1))),0)</f>
        <v>0</v>
      </c>
      <c r="AF12" s="269" t="n">
        <f aca="false">IF(AND(Projects!$G$9="Yes",Projects!$F$9="Yes",30&gt;=Projects!$C$9,30&lt;Projects!$C$9+Projects!$D$9),Projects!$B$9*(1-SUMPRODUCT((Curves!$B$2:$AO$2)*(COLUMN(Curves!$B$2:$AO$2)-COLUMN(Curves!$B$2)+1&lt;=30-Projects!$C$9+1))),0)</f>
        <v>0</v>
      </c>
      <c r="AG12" s="269" t="n">
        <f aca="false">IF(AND(Projects!$G$9="Yes",Projects!$F$9="Yes",31&gt;=Projects!$C$9,31&lt;Projects!$C$9+Projects!$D$9),Projects!$B$9*(1-SUMPRODUCT((Curves!$B$2:$AO$2)*(COLUMN(Curves!$B$2:$AO$2)-COLUMN(Curves!$B$2)+1&lt;=31-Projects!$C$9+1))),0)</f>
        <v>0</v>
      </c>
      <c r="AH12" s="269" t="n">
        <f aca="false">IF(AND(Projects!$G$9="Yes",Projects!$F$9="Yes",32&gt;=Projects!$C$9,32&lt;Projects!$C$9+Projects!$D$9),Projects!$B$9*(1-SUMPRODUCT((Curves!$B$2:$AO$2)*(COLUMN(Curves!$B$2:$AO$2)-COLUMN(Curves!$B$2)+1&lt;=32-Projects!$C$9+1))),0)</f>
        <v>0</v>
      </c>
      <c r="AI12" s="269" t="n">
        <f aca="false">IF(AND(Projects!$G$9="Yes",Projects!$F$9="Yes",33&gt;=Projects!$C$9,33&lt;Projects!$C$9+Projects!$D$9),Projects!$B$9*(1-SUMPRODUCT((Curves!$B$2:$AO$2)*(COLUMN(Curves!$B$2:$AO$2)-COLUMN(Curves!$B$2)+1&lt;=33-Projects!$C$9+1))),0)</f>
        <v>0</v>
      </c>
      <c r="AJ12" s="269" t="n">
        <f aca="false">IF(AND(Projects!$G$9="Yes",Projects!$F$9="Yes",34&gt;=Projects!$C$9,34&lt;Projects!$C$9+Projects!$D$9),Projects!$B$9*(1-SUMPRODUCT((Curves!$B$2:$AO$2)*(COLUMN(Curves!$B$2:$AO$2)-COLUMN(Curves!$B$2)+1&lt;=34-Projects!$C$9+1))),0)</f>
        <v>0</v>
      </c>
      <c r="AK12" s="269" t="n">
        <f aca="false">IF(AND(Projects!$G$9="Yes",Projects!$F$9="Yes",35&gt;=Projects!$C$9,35&lt;Projects!$C$9+Projects!$D$9),Projects!$B$9*(1-SUMPRODUCT((Curves!$B$2:$AO$2)*(COLUMN(Curves!$B$2:$AO$2)-COLUMN(Curves!$B$2)+1&lt;=35-Projects!$C$9+1))),0)</f>
        <v>0</v>
      </c>
      <c r="AL12" s="269" t="n">
        <f aca="false">IF(AND(Projects!$G$9="Yes",Projects!$F$9="Yes",36&gt;=Projects!$C$9,36&lt;Projects!$C$9+Projects!$D$9),Projects!$B$9*(1-SUMPRODUCT((Curves!$B$2:$AO$2)*(COLUMN(Curves!$B$2:$AO$2)-COLUMN(Curves!$B$2)+1&lt;=36-Projects!$C$9+1))),0)</f>
        <v>0</v>
      </c>
      <c r="AM12" s="269" t="n">
        <f aca="false">IF(AND(Projects!$G$9="Yes",Projects!$F$9="Yes",37&gt;=Projects!$C$9,37&lt;Projects!$C$9+Projects!$D$9),Projects!$B$9*(1-SUMPRODUCT((Curves!$B$2:$AO$2)*(COLUMN(Curves!$B$2:$AO$2)-COLUMN(Curves!$B$2)+1&lt;=37-Projects!$C$9+1))),0)</f>
        <v>0</v>
      </c>
      <c r="AN12" s="269" t="n">
        <f aca="false">IF(AND(Projects!$G$9="Yes",Projects!$F$9="Yes",38&gt;=Projects!$C$9,38&lt;Projects!$C$9+Projects!$D$9),Projects!$B$9*(1-SUMPRODUCT((Curves!$B$2:$AO$2)*(COLUMN(Curves!$B$2:$AO$2)-COLUMN(Curves!$B$2)+1&lt;=38-Projects!$C$9+1))),0)</f>
        <v>0</v>
      </c>
      <c r="AO12" s="269" t="n">
        <f aca="false">IF(AND(Projects!$G$9="Yes",Projects!$F$9="Yes",39&gt;=Projects!$C$9,39&lt;Projects!$C$9+Projects!$D$9),Projects!$B$9*(1-SUMPRODUCT((Curves!$B$2:$AO$2)*(COLUMN(Curves!$B$2:$AO$2)-COLUMN(Curves!$B$2)+1&lt;=39-Projects!$C$9+1))),0)</f>
        <v>0</v>
      </c>
      <c r="AP12" s="269" t="n">
        <f aca="false">IF(AND(Projects!$G$9="Yes",Projects!$F$9="Yes",40&gt;=Projects!$C$9,40&lt;Projects!$C$9+Projects!$D$9),Projects!$B$9*(1-SUMPRODUCT((Curves!$B$2:$AO$2)*(COLUMN(Curves!$B$2:$AO$2)-COLUMN(Curves!$B$2)+1&lt;=40-Projects!$C$9+1))),0)</f>
        <v>0</v>
      </c>
      <c r="AQ12" s="269" t="n">
        <f aca="false">IF(AND(Projects!$G$9="Yes",Projects!$F$9="Yes",41&gt;=Projects!$C$9,41&lt;Projects!$C$9+Projects!$D$9),Projects!$B$9*(1-SUMPRODUCT((Curves!$B$2:$AO$2)*(COLUMN(Curves!$B$2:$AO$2)-COLUMN(Curves!$B$2)+1&lt;=41-Projects!$C$9+1))),0)</f>
        <v>0</v>
      </c>
      <c r="AR12" s="269" t="n">
        <f aca="false">IF(AND(Projects!$G$9="Yes",Projects!$F$9="Yes",42&gt;=Projects!$C$9,42&lt;Projects!$C$9+Projects!$D$9),Projects!$B$9*(1-SUMPRODUCT((Curves!$B$2:$AO$2)*(COLUMN(Curves!$B$2:$AO$2)-COLUMN(Curves!$B$2)+1&lt;=42-Projects!$C$9+1))),0)</f>
        <v>0</v>
      </c>
      <c r="AS12" s="269" t="n">
        <f aca="false">IF(AND(Projects!$G$9="Yes",Projects!$F$9="Yes",43&gt;=Projects!$C$9,43&lt;Projects!$C$9+Projects!$D$9),Projects!$B$9*(1-SUMPRODUCT((Curves!$B$2:$AO$2)*(COLUMN(Curves!$B$2:$AO$2)-COLUMN(Curves!$B$2)+1&lt;=43-Projects!$C$9+1))),0)</f>
        <v>0</v>
      </c>
      <c r="AT12" s="269" t="n">
        <f aca="false">IF(AND(Projects!$G$9="Yes",Projects!$F$9="Yes",44&gt;=Projects!$C$9,44&lt;Projects!$C$9+Projects!$D$9),Projects!$B$9*(1-SUMPRODUCT((Curves!$B$2:$AO$2)*(COLUMN(Curves!$B$2:$AO$2)-COLUMN(Curves!$B$2)+1&lt;=44-Projects!$C$9+1))),0)</f>
        <v>0</v>
      </c>
      <c r="AU12" s="269" t="n">
        <f aca="false">IF(AND(Projects!$G$9="Yes",Projects!$F$9="Yes",45&gt;=Projects!$C$9,45&lt;Projects!$C$9+Projects!$D$9),Projects!$B$9*(1-SUMPRODUCT((Curves!$B$2:$AO$2)*(COLUMN(Curves!$B$2:$AO$2)-COLUMN(Curves!$B$2)+1&lt;=45-Projects!$C$9+1))),0)</f>
        <v>0</v>
      </c>
      <c r="AV12" s="269" t="n">
        <f aca="false">IF(AND(Projects!$G$9="Yes",Projects!$F$9="Yes",46&gt;=Projects!$C$9,46&lt;Projects!$C$9+Projects!$D$9),Projects!$B$9*(1-SUMPRODUCT((Curves!$B$2:$AO$2)*(COLUMN(Curves!$B$2:$AO$2)-COLUMN(Curves!$B$2)+1&lt;=46-Projects!$C$9+1))),0)</f>
        <v>0</v>
      </c>
      <c r="AW12" s="269" t="n">
        <f aca="false">IF(AND(Projects!$G$9="Yes",Projects!$F$9="Yes",47&gt;=Projects!$C$9,47&lt;Projects!$C$9+Projects!$D$9),Projects!$B$9*(1-SUMPRODUCT((Curves!$B$2:$AO$2)*(COLUMN(Curves!$B$2:$AO$2)-COLUMN(Curves!$B$2)+1&lt;=47-Projects!$C$9+1))),0)</f>
        <v>0</v>
      </c>
      <c r="AX12" s="269" t="n">
        <f aca="false">IF(AND(Projects!$G$9="Yes",Projects!$F$9="Yes",48&gt;=Projects!$C$9,48&lt;Projects!$C$9+Projects!$D$9),Projects!$B$9*(1-SUMPRODUCT((Curves!$B$2:$AO$2)*(COLUMN(Curves!$B$2:$AO$2)-COLUMN(Curves!$B$2)+1&lt;=48-Projects!$C$9+1))),0)</f>
        <v>0</v>
      </c>
      <c r="AY12" s="269" t="n">
        <f aca="false">IF(AND(Projects!$G$9="Yes",Projects!$F$9="Yes",49&gt;=Projects!$C$9,49&lt;Projects!$C$9+Projects!$D$9),Projects!$B$9*(1-SUMPRODUCT((Curves!$B$2:$AO$2)*(COLUMN(Curves!$B$2:$AO$2)-COLUMN(Curves!$B$2)+1&lt;=49-Projects!$C$9+1))),0)</f>
        <v>0</v>
      </c>
      <c r="AZ12" s="269" t="n">
        <f aca="false">IF(AND(Projects!$G$9="Yes",Projects!$F$9="Yes",50&gt;=Projects!$C$9,50&lt;Projects!$C$9+Projects!$D$9),Projects!$B$9*(1-SUMPRODUCT((Curves!$B$2:$AO$2)*(COLUMN(Curves!$B$2:$AO$2)-COLUMN(Curves!$B$2)+1&lt;=50-Projects!$C$9+1))),0)</f>
        <v>0</v>
      </c>
      <c r="BA12" s="269" t="n">
        <f aca="false">IF(AND(Projects!$G$9="Yes",Projects!$F$9="Yes",51&gt;=Projects!$C$9,51&lt;Projects!$C$9+Projects!$D$9),Projects!$B$9*(1-SUMPRODUCT((Curves!$B$2:$AO$2)*(COLUMN(Curves!$B$2:$AO$2)-COLUMN(Curves!$B$2)+1&lt;=51-Projects!$C$9+1))),0)</f>
        <v>0</v>
      </c>
      <c r="BB12" s="269" t="n">
        <f aca="false">IF(AND(Projects!$G$9="Yes",Projects!$F$9="Yes",52&gt;=Projects!$C$9,52&lt;Projects!$C$9+Projects!$D$9),Projects!$B$9*(1-SUMPRODUCT((Curves!$B$2:$AO$2)*(COLUMN(Curves!$B$2:$AO$2)-COLUMN(Curves!$B$2)+1&lt;=52-Projects!$C$9+1))),0)</f>
        <v>0</v>
      </c>
      <c r="BC12" s="269" t="n">
        <f aca="false">IF(AND(Projects!$G$9="Yes",Projects!$F$9="Yes",53&gt;=Projects!$C$9,53&lt;Projects!$C$9+Projects!$D$9),Projects!$B$9*(1-SUMPRODUCT((Curves!$B$2:$AO$2)*(COLUMN(Curves!$B$2:$AO$2)-COLUMN(Curves!$B$2)+1&lt;=53-Projects!$C$9+1))),0)</f>
        <v>0</v>
      </c>
      <c r="BD12" s="269" t="n">
        <f aca="false">IF(AND(Projects!$G$9="Yes",Projects!$F$9="Yes",54&gt;=Projects!$C$9,54&lt;Projects!$C$9+Projects!$D$9),Projects!$B$9*(1-SUMPRODUCT((Curves!$B$2:$AO$2)*(COLUMN(Curves!$B$2:$AO$2)-COLUMN(Curves!$B$2)+1&lt;=54-Projects!$C$9+1))),0)</f>
        <v>0</v>
      </c>
      <c r="BE12" s="269" t="n">
        <f aca="false">IF(AND(Projects!$G$9="Yes",Projects!$F$9="Yes",55&gt;=Projects!$C$9,55&lt;Projects!$C$9+Projects!$D$9),Projects!$B$9*(1-SUMPRODUCT((Curves!$B$2:$AO$2)*(COLUMN(Curves!$B$2:$AO$2)-COLUMN(Curves!$B$2)+1&lt;=55-Projects!$C$9+1))),0)</f>
        <v>0</v>
      </c>
      <c r="BF12" s="269" t="n">
        <f aca="false">IF(AND(Projects!$G$9="Yes",Projects!$F$9="Yes",56&gt;=Projects!$C$9,56&lt;Projects!$C$9+Projects!$D$9),Projects!$B$9*(1-SUMPRODUCT((Curves!$B$2:$AO$2)*(COLUMN(Curves!$B$2:$AO$2)-COLUMN(Curves!$B$2)+1&lt;=56-Projects!$C$9+1))),0)</f>
        <v>0</v>
      </c>
      <c r="BG12" s="269" t="n">
        <f aca="false">IF(AND(Projects!$G$9="Yes",Projects!$F$9="Yes",57&gt;=Projects!$C$9,57&lt;Projects!$C$9+Projects!$D$9),Projects!$B$9*(1-SUMPRODUCT((Curves!$B$2:$AO$2)*(COLUMN(Curves!$B$2:$AO$2)-COLUMN(Curves!$B$2)+1&lt;=57-Projects!$C$9+1))),0)</f>
        <v>0</v>
      </c>
      <c r="BH12" s="269" t="n">
        <f aca="false">IF(AND(Projects!$G$9="Yes",Projects!$F$9="Yes",58&gt;=Projects!$C$9,58&lt;Projects!$C$9+Projects!$D$9),Projects!$B$9*(1-SUMPRODUCT((Curves!$B$2:$AO$2)*(COLUMN(Curves!$B$2:$AO$2)-COLUMN(Curves!$B$2)+1&lt;=58-Projects!$C$9+1))),0)</f>
        <v>0</v>
      </c>
      <c r="BI12" s="269" t="n">
        <f aca="false">IF(AND(Projects!$G$9="Yes",Projects!$F$9="Yes",59&gt;=Projects!$C$9,59&lt;Projects!$C$9+Projects!$D$9),Projects!$B$9*(1-SUMPRODUCT((Curves!$B$2:$AO$2)*(COLUMN(Curves!$B$2:$AO$2)-COLUMN(Curves!$B$2)+1&lt;=59-Projects!$C$9+1))),0)</f>
        <v>0</v>
      </c>
      <c r="BJ12" s="269" t="n">
        <f aca="false">IF(AND(Projects!$G$9="Yes",Projects!$F$9="Yes",60&gt;=Projects!$C$9,60&lt;Projects!$C$9+Projects!$D$9),Projects!$B$9*(1-SUMPRODUCT((Curves!$B$2:$AO$2)*(COLUMN(Curves!$B$2:$AO$2)-COLUMN(Curves!$B$2)+1&lt;=60-Projects!$C$9+1))),0)</f>
        <v>0</v>
      </c>
      <c r="BK12" s="269" t="n">
        <f aca="false">IF(AND(Projects!$G$9="Yes",Projects!$F$9="Yes",61&gt;=Projects!$C$9,61&lt;Projects!$C$9+Projects!$D$9),Projects!$B$9*(1-SUMPRODUCT((Curves!$B$2:$AO$2)*(COLUMN(Curves!$B$2:$AO$2)-COLUMN(Curves!$B$2)+1&lt;=61-Projects!$C$9+1))),0)</f>
        <v>0</v>
      </c>
      <c r="BL12" s="269" t="n">
        <f aca="false">IF(AND(Projects!$G$9="Yes",Projects!$F$9="Yes",62&gt;=Projects!$C$9,62&lt;Projects!$C$9+Projects!$D$9),Projects!$B$9*(1-SUMPRODUCT((Curves!$B$2:$AO$2)*(COLUMN(Curves!$B$2:$AO$2)-COLUMN(Curves!$B$2)+1&lt;=62-Projects!$C$9+1))),0)</f>
        <v>0</v>
      </c>
      <c r="BM12" s="269" t="n">
        <f aca="false">IF(AND(Projects!$G$9="Yes",Projects!$F$9="Yes",63&gt;=Projects!$C$9,63&lt;Projects!$C$9+Projects!$D$9),Projects!$B$9*(1-SUMPRODUCT((Curves!$B$2:$AO$2)*(COLUMN(Curves!$B$2:$AO$2)-COLUMN(Curves!$B$2)+1&lt;=63-Projects!$C$9+1))),0)</f>
        <v>0</v>
      </c>
      <c r="BN12" s="269" t="n">
        <f aca="false">IF(AND(Projects!$G$9="Yes",Projects!$F$9="Yes",64&gt;=Projects!$C$9,64&lt;Projects!$C$9+Projects!$D$9),Projects!$B$9*(1-SUMPRODUCT((Curves!$B$2:$AO$2)*(COLUMN(Curves!$B$2:$AO$2)-COLUMN(Curves!$B$2)+1&lt;=64-Projects!$C$9+1))),0)</f>
        <v>0</v>
      </c>
      <c r="BO12" s="269" t="n">
        <f aca="false">IF(AND(Projects!$G$9="Yes",Projects!$F$9="Yes",65&gt;=Projects!$C$9,65&lt;Projects!$C$9+Projects!$D$9),Projects!$B$9*(1-SUMPRODUCT((Curves!$B$2:$AO$2)*(COLUMN(Curves!$B$2:$AO$2)-COLUMN(Curves!$B$2)+1&lt;=65-Projects!$C$9+1))),0)</f>
        <v>0</v>
      </c>
      <c r="BP12" s="269" t="n">
        <f aca="false">IF(AND(Projects!$G$9="Yes",Projects!$F$9="Yes",66&gt;=Projects!$C$9,66&lt;Projects!$C$9+Projects!$D$9),Projects!$B$9*(1-SUMPRODUCT((Curves!$B$2:$AO$2)*(COLUMN(Curves!$B$2:$AO$2)-COLUMN(Curves!$B$2)+1&lt;=66-Projects!$C$9+1))),0)</f>
        <v>0</v>
      </c>
      <c r="BQ12" s="269" t="n">
        <f aca="false">IF(AND(Projects!$G$9="Yes",Projects!$F$9="Yes",67&gt;=Projects!$C$9,67&lt;Projects!$C$9+Projects!$D$9),Projects!$B$9*(1-SUMPRODUCT((Curves!$B$2:$AO$2)*(COLUMN(Curves!$B$2:$AO$2)-COLUMN(Curves!$B$2)+1&lt;=67-Projects!$C$9+1))),0)</f>
        <v>0</v>
      </c>
      <c r="BR12" s="269" t="n">
        <f aca="false">IF(AND(Projects!$G$9="Yes",Projects!$F$9="Yes",68&gt;=Projects!$C$9,68&lt;Projects!$C$9+Projects!$D$9),Projects!$B$9*(1-SUMPRODUCT((Curves!$B$2:$AO$2)*(COLUMN(Curves!$B$2:$AO$2)-COLUMN(Curves!$B$2)+1&lt;=68-Projects!$C$9+1))),0)</f>
        <v>0</v>
      </c>
      <c r="BS12" s="269" t="n">
        <f aca="false">IF(AND(Projects!$G$9="Yes",Projects!$F$9="Yes",69&gt;=Projects!$C$9,69&lt;Projects!$C$9+Projects!$D$9),Projects!$B$9*(1-SUMPRODUCT((Curves!$B$2:$AO$2)*(COLUMN(Curves!$B$2:$AO$2)-COLUMN(Curves!$B$2)+1&lt;=69-Projects!$C$9+1))),0)</f>
        <v>0</v>
      </c>
      <c r="BT12" s="269" t="n">
        <f aca="false">IF(AND(Projects!$G$9="Yes",Projects!$F$9="Yes",70&gt;=Projects!$C$9,70&lt;Projects!$C$9+Projects!$D$9),Projects!$B$9*(1-SUMPRODUCT((Curves!$B$2:$AO$2)*(COLUMN(Curves!$B$2:$AO$2)-COLUMN(Curves!$B$2)+1&lt;=70-Projects!$C$9+1))),0)</f>
        <v>0</v>
      </c>
      <c r="BU12" s="269" t="n">
        <f aca="false">IF(AND(Projects!$G$9="Yes",Projects!$F$9="Yes",71&gt;=Projects!$C$9,71&lt;Projects!$C$9+Projects!$D$9),Projects!$B$9*(1-SUMPRODUCT((Curves!$B$2:$AO$2)*(COLUMN(Curves!$B$2:$AO$2)-COLUMN(Curves!$B$2)+1&lt;=71-Projects!$C$9+1))),0)</f>
        <v>0</v>
      </c>
      <c r="BV12" s="269" t="n">
        <f aca="false">IF(AND(Projects!$G$9="Yes",Projects!$F$9="Yes",72&gt;=Projects!$C$9,72&lt;Projects!$C$9+Projects!$D$9),Projects!$B$9*(1-SUMPRODUCT((Curves!$B$2:$AO$2)*(COLUMN(Curves!$B$2:$AO$2)-COLUMN(Curves!$B$2)+1&lt;=72-Projects!$C$9+1))),0)</f>
        <v>0</v>
      </c>
      <c r="BW12" s="269" t="n">
        <f aca="false">IF(AND(Projects!$G$9="Yes",Projects!$F$9="Yes",73&gt;=Projects!$C$9,73&lt;Projects!$C$9+Projects!$D$9),Projects!$B$9*(1-SUMPRODUCT((Curves!$B$2:$AO$2)*(COLUMN(Curves!$B$2:$AO$2)-COLUMN(Curves!$B$2)+1&lt;=73-Projects!$C$9+1))),0)</f>
        <v>0</v>
      </c>
      <c r="BX12" s="269" t="n">
        <f aca="false">IF(AND(Projects!$G$9="Yes",Projects!$F$9="Yes",74&gt;=Projects!$C$9,74&lt;Projects!$C$9+Projects!$D$9),Projects!$B$9*(1-SUMPRODUCT((Curves!$B$2:$AO$2)*(COLUMN(Curves!$B$2:$AO$2)-COLUMN(Curves!$B$2)+1&lt;=74-Projects!$C$9+1))),0)</f>
        <v>0</v>
      </c>
      <c r="BY12" s="269" t="n">
        <f aca="false">IF(AND(Projects!$G$9="Yes",Projects!$F$9="Yes",75&gt;=Projects!$C$9,75&lt;Projects!$C$9+Projects!$D$9),Projects!$B$9*(1-SUMPRODUCT((Curves!$B$2:$AO$2)*(COLUMN(Curves!$B$2:$AO$2)-COLUMN(Curves!$B$2)+1&lt;=75-Projects!$C$9+1))),0)</f>
        <v>0</v>
      </c>
      <c r="BZ12" s="269" t="n">
        <f aca="false">IF(AND(Projects!$G$9="Yes",Projects!$F$9="Yes",76&gt;=Projects!$C$9,76&lt;Projects!$C$9+Projects!$D$9),Projects!$B$9*(1-SUMPRODUCT((Curves!$B$2:$AO$2)*(COLUMN(Curves!$B$2:$AO$2)-COLUMN(Curves!$B$2)+1&lt;=76-Projects!$C$9+1))),0)</f>
        <v>0</v>
      </c>
      <c r="CA12" s="269" t="n">
        <f aca="false">IF(AND(Projects!$G$9="Yes",Projects!$F$9="Yes",77&gt;=Projects!$C$9,77&lt;Projects!$C$9+Projects!$D$9),Projects!$B$9*(1-SUMPRODUCT((Curves!$B$2:$AO$2)*(COLUMN(Curves!$B$2:$AO$2)-COLUMN(Curves!$B$2)+1&lt;=77-Projects!$C$9+1))),0)</f>
        <v>0</v>
      </c>
      <c r="CB12" s="269" t="n">
        <f aca="false">IF(AND(Projects!$G$9="Yes",Projects!$F$9="Yes",78&gt;=Projects!$C$9,78&lt;Projects!$C$9+Projects!$D$9),Projects!$B$9*(1-SUMPRODUCT((Curves!$B$2:$AO$2)*(COLUMN(Curves!$B$2:$AO$2)-COLUMN(Curves!$B$2)+1&lt;=78-Projects!$C$9+1))),0)</f>
        <v>0</v>
      </c>
      <c r="CC12" s="269" t="n">
        <f aca="false">IF(AND(Projects!$G$9="Yes",Projects!$F$9="Yes",79&gt;=Projects!$C$9,79&lt;Projects!$C$9+Projects!$D$9),Projects!$B$9*(1-SUMPRODUCT((Curves!$B$2:$AO$2)*(COLUMN(Curves!$B$2:$AO$2)-COLUMN(Curves!$B$2)+1&lt;=79-Projects!$C$9+1))),0)</f>
        <v>0</v>
      </c>
      <c r="CD12" s="269" t="n">
        <f aca="false">IF(AND(Projects!$G$9="Yes",Projects!$F$9="Yes",80&gt;=Projects!$C$9,80&lt;Projects!$C$9+Projects!$D$9),Projects!$B$9*(1-SUMPRODUCT((Curves!$B$2:$AO$2)*(COLUMN(Curves!$B$2:$AO$2)-COLUMN(Curves!$B$2)+1&lt;=80-Projects!$C$9+1))),0)</f>
        <v>0</v>
      </c>
      <c r="CE12" s="269" t="n">
        <f aca="false">IF(AND(Projects!$G$9="Yes",Projects!$F$9="Yes",81&gt;=Projects!$C$9,81&lt;Projects!$C$9+Projects!$D$9),Projects!$B$9*(1-SUMPRODUCT((Curves!$B$2:$AO$2)*(COLUMN(Curves!$B$2:$AO$2)-COLUMN(Curves!$B$2)+1&lt;=81-Projects!$C$9+1))),0)</f>
        <v>0</v>
      </c>
      <c r="CF12" s="269" t="n">
        <f aca="false">IF(AND(Projects!$G$9="Yes",Projects!$F$9="Yes",82&gt;=Projects!$C$9,82&lt;Projects!$C$9+Projects!$D$9),Projects!$B$9*(1-SUMPRODUCT((Curves!$B$2:$AO$2)*(COLUMN(Curves!$B$2:$AO$2)-COLUMN(Curves!$B$2)+1&lt;=82-Projects!$C$9+1))),0)</f>
        <v>0</v>
      </c>
      <c r="CG12" s="269" t="n">
        <f aca="false">IF(AND(Projects!$G$9="Yes",Projects!$F$9="Yes",83&gt;=Projects!$C$9,83&lt;Projects!$C$9+Projects!$D$9),Projects!$B$9*(1-SUMPRODUCT((Curves!$B$2:$AO$2)*(COLUMN(Curves!$B$2:$AO$2)-COLUMN(Curves!$B$2)+1&lt;=83-Projects!$C$9+1))),0)</f>
        <v>0</v>
      </c>
      <c r="CH12" s="269" t="n">
        <f aca="false">IF(AND(Projects!$G$9="Yes",Projects!$F$9="Yes",84&gt;=Projects!$C$9,84&lt;Projects!$C$9+Projects!$D$9),Projects!$B$9*(1-SUMPRODUCT((Curves!$B$2:$AO$2)*(COLUMN(Curves!$B$2:$AO$2)-COLUMN(Curves!$B$2)+1&lt;=84-Projects!$C$9+1))),0)</f>
        <v>0</v>
      </c>
      <c r="CI12" s="269" t="n">
        <f aca="false">IF(AND(Projects!$G$9="Yes",Projects!$F$9="Yes",85&gt;=Projects!$C$9,85&lt;Projects!$C$9+Projects!$D$9),Projects!$B$9*(1-SUMPRODUCT((Curves!$B$2:$AO$2)*(COLUMN(Curves!$B$2:$AO$2)-COLUMN(Curves!$B$2)+1&lt;=85-Projects!$C$9+1))),0)</f>
        <v>0</v>
      </c>
      <c r="CJ12" s="269" t="n">
        <f aca="false">IF(AND(Projects!$G$9="Yes",Projects!$F$9="Yes",86&gt;=Projects!$C$9,86&lt;Projects!$C$9+Projects!$D$9),Projects!$B$9*(1-SUMPRODUCT((Curves!$B$2:$AO$2)*(COLUMN(Curves!$B$2:$AO$2)-COLUMN(Curves!$B$2)+1&lt;=86-Projects!$C$9+1))),0)</f>
        <v>0</v>
      </c>
      <c r="CK12" s="269" t="n">
        <f aca="false">IF(AND(Projects!$G$9="Yes",Projects!$F$9="Yes",87&gt;=Projects!$C$9,87&lt;Projects!$C$9+Projects!$D$9),Projects!$B$9*(1-SUMPRODUCT((Curves!$B$2:$AO$2)*(COLUMN(Curves!$B$2:$AO$2)-COLUMN(Curves!$B$2)+1&lt;=87-Projects!$C$9+1))),0)</f>
        <v>0</v>
      </c>
      <c r="CL12" s="269" t="n">
        <f aca="false">IF(AND(Projects!$G$9="Yes",Projects!$F$9="Yes",88&gt;=Projects!$C$9,88&lt;Projects!$C$9+Projects!$D$9),Projects!$B$9*(1-SUMPRODUCT((Curves!$B$2:$AO$2)*(COLUMN(Curves!$B$2:$AO$2)-COLUMN(Curves!$B$2)+1&lt;=88-Projects!$C$9+1))),0)</f>
        <v>0</v>
      </c>
      <c r="CM12" s="269" t="n">
        <f aca="false">IF(AND(Projects!$G$9="Yes",Projects!$F$9="Yes",89&gt;=Projects!$C$9,89&lt;Projects!$C$9+Projects!$D$9),Projects!$B$9*(1-SUMPRODUCT((Curves!$B$2:$AO$2)*(COLUMN(Curves!$B$2:$AO$2)-COLUMN(Curves!$B$2)+1&lt;=89-Projects!$C$9+1))),0)</f>
        <v>0</v>
      </c>
      <c r="CN12" s="269" t="n">
        <f aca="false">IF(AND(Projects!$G$9="Yes",Projects!$F$9="Yes",90&gt;=Projects!$C$9,90&lt;Projects!$C$9+Projects!$D$9),Projects!$B$9*(1-SUMPRODUCT((Curves!$B$2:$AO$2)*(COLUMN(Curves!$B$2:$AO$2)-COLUMN(Curves!$B$2)+1&lt;=90-Projects!$C$9+1))),0)</f>
        <v>0</v>
      </c>
      <c r="CO12" s="269" t="n">
        <f aca="false">IF(AND(Projects!$G$9="Yes",Projects!$F$9="Yes",91&gt;=Projects!$C$9,91&lt;Projects!$C$9+Projects!$D$9),Projects!$B$9*(1-SUMPRODUCT((Curves!$B$2:$AO$2)*(COLUMN(Curves!$B$2:$AO$2)-COLUMN(Curves!$B$2)+1&lt;=91-Projects!$C$9+1))),0)</f>
        <v>0</v>
      </c>
      <c r="CP12" s="269" t="n">
        <f aca="false">IF(AND(Projects!$G$9="Yes",Projects!$F$9="Yes",92&gt;=Projects!$C$9,92&lt;Projects!$C$9+Projects!$D$9),Projects!$B$9*(1-SUMPRODUCT((Curves!$B$2:$AO$2)*(COLUMN(Curves!$B$2:$AO$2)-COLUMN(Curves!$B$2)+1&lt;=92-Projects!$C$9+1))),0)</f>
        <v>0</v>
      </c>
      <c r="CQ12" s="269" t="n">
        <f aca="false">IF(AND(Projects!$G$9="Yes",Projects!$F$9="Yes",93&gt;=Projects!$C$9,93&lt;Projects!$C$9+Projects!$D$9),Projects!$B$9*(1-SUMPRODUCT((Curves!$B$2:$AO$2)*(COLUMN(Curves!$B$2:$AO$2)-COLUMN(Curves!$B$2)+1&lt;=93-Projects!$C$9+1))),0)</f>
        <v>0</v>
      </c>
    </row>
    <row r="13" customFormat="false" ht="15" hidden="false" customHeight="true" outlineLevel="0" collapsed="false">
      <c r="A13" s="187" t="s">
        <v>15</v>
      </c>
      <c r="C13" s="269" t="n">
        <f aca="false">IF(AND(Projects!$G$10="Yes",Projects!$F$10="Yes",1&gt;=Projects!$C$10,1&lt;Projects!$C$10+Projects!$D$10),Projects!$B$10*(1-SUMPRODUCT((Curves!$B$4:$AO$4)*(COLUMN(Curves!$B$4:$AO$4)-COLUMN(Curves!$B$4)+1&lt;=1-Projects!$C$10+1))),0)</f>
        <v>0</v>
      </c>
      <c r="D13" s="269" t="n">
        <f aca="false">IF(AND(Projects!$G$10="Yes",Projects!$F$10="Yes",2&gt;=Projects!$C$10,2&lt;Projects!$C$10+Projects!$D$10),Projects!$B$10*(1-SUMPRODUCT((Curves!$B$4:$AO$4)*(COLUMN(Curves!$B$4:$AO$4)-COLUMN(Curves!$B$4)+1&lt;=2-Projects!$C$10+1))),0)</f>
        <v>0</v>
      </c>
      <c r="E13" s="269" t="n">
        <f aca="false">IF(AND(Projects!$G$10="Yes",Projects!$F$10="Yes",3&gt;=Projects!$C$10,3&lt;Projects!$C$10+Projects!$D$10),Projects!$B$10*(1-SUMPRODUCT((Curves!$B$4:$AO$4)*(COLUMN(Curves!$B$4:$AO$4)-COLUMN(Curves!$B$4)+1&lt;=3-Projects!$C$10+1))),0)</f>
        <v>0</v>
      </c>
      <c r="F13" s="269" t="n">
        <f aca="false">IF(AND(Projects!$G$10="Yes",Projects!$F$10="Yes",4&gt;=Projects!$C$10,4&lt;Projects!$C$10+Projects!$D$10),Projects!$B$10*(1-SUMPRODUCT((Curves!$B$4:$AO$4)*(COLUMN(Curves!$B$4:$AO$4)-COLUMN(Curves!$B$4)+1&lt;=4-Projects!$C$10+1))),0)</f>
        <v>0</v>
      </c>
      <c r="G13" s="269" t="n">
        <f aca="false">IF(AND(Projects!$G$10="Yes",Projects!$F$10="Yes",5&gt;=Projects!$C$10,5&lt;Projects!$C$10+Projects!$D$10),Projects!$B$10*(1-SUMPRODUCT((Curves!$B$4:$AO$4)*(COLUMN(Curves!$B$4:$AO$4)-COLUMN(Curves!$B$4)+1&lt;=5-Projects!$C$10+1))),0)</f>
        <v>0</v>
      </c>
      <c r="H13" s="269" t="n">
        <f aca="false">IF(AND(Projects!$G$10="Yes",Projects!$F$10="Yes",6&gt;=Projects!$C$10,6&lt;Projects!$C$10+Projects!$D$10),Projects!$B$10*(1-SUMPRODUCT((Curves!$B$4:$AO$4)*(COLUMN(Curves!$B$4:$AO$4)-COLUMN(Curves!$B$4)+1&lt;=6-Projects!$C$10+1))),0)</f>
        <v>0</v>
      </c>
      <c r="I13" s="269" t="n">
        <f aca="false">IF(AND(Projects!$G$10="Yes",Projects!$F$10="Yes",7&gt;=Projects!$C$10,7&lt;Projects!$C$10+Projects!$D$10),Projects!$B$10*(1-SUMPRODUCT((Curves!$B$4:$AO$4)*(COLUMN(Curves!$B$4:$AO$4)-COLUMN(Curves!$B$4)+1&lt;=7-Projects!$C$10+1))),0)</f>
        <v>0</v>
      </c>
      <c r="J13" s="269" t="n">
        <f aca="false">IF(AND(Projects!$G$10="Yes",Projects!$F$10="Yes",8&gt;=Projects!$C$10,8&lt;Projects!$C$10+Projects!$D$10),Projects!$B$10*(1-SUMPRODUCT((Curves!$B$4:$AO$4)*(COLUMN(Curves!$B$4:$AO$4)-COLUMN(Curves!$B$4)+1&lt;=8-Projects!$C$10+1))),0)</f>
        <v>0</v>
      </c>
      <c r="K13" s="269" t="n">
        <f aca="false">IF(AND(Projects!$G$10="Yes",Projects!$F$10="Yes",9&gt;=Projects!$C$10,9&lt;Projects!$C$10+Projects!$D$10),Projects!$B$10*(1-SUMPRODUCT((Curves!$B$4:$AO$4)*(COLUMN(Curves!$B$4:$AO$4)-COLUMN(Curves!$B$4)+1&lt;=9-Projects!$C$10+1))),0)</f>
        <v>0</v>
      </c>
      <c r="L13" s="269" t="n">
        <f aca="false">IF(AND(Projects!$G$10="Yes",Projects!$F$10="Yes",10&gt;=Projects!$C$10,10&lt;Projects!$C$10+Projects!$D$10),Projects!$B$10*(1-SUMPRODUCT((Curves!$B$4:$AO$4)*(COLUMN(Curves!$B$4:$AO$4)-COLUMN(Curves!$B$4)+1&lt;=10-Projects!$C$10+1))),0)</f>
        <v>0</v>
      </c>
      <c r="M13" s="269" t="n">
        <f aca="false">IF(AND(Projects!$G$10="Yes",Projects!$F$10="Yes",11&gt;=Projects!$C$10,11&lt;Projects!$C$10+Projects!$D$10),Projects!$B$10*(1-SUMPRODUCT((Curves!$B$4:$AO$4)*(COLUMN(Curves!$B$4:$AO$4)-COLUMN(Curves!$B$4)+1&lt;=11-Projects!$C$10+1))),0)</f>
        <v>0</v>
      </c>
      <c r="N13" s="269" t="n">
        <f aca="false">IF(AND(Projects!$G$10="Yes",Projects!$F$10="Yes",12&gt;=Projects!$C$10,12&lt;Projects!$C$10+Projects!$D$10),Projects!$B$10*(1-SUMPRODUCT((Curves!$B$4:$AO$4)*(COLUMN(Curves!$B$4:$AO$4)-COLUMN(Curves!$B$4)+1&lt;=12-Projects!$C$10+1))),0)</f>
        <v>0</v>
      </c>
      <c r="O13" s="269" t="n">
        <f aca="false">IF(AND(Projects!$G$10="Yes",Projects!$F$10="Yes",13&gt;=Projects!$C$10,13&lt;Projects!$C$10+Projects!$D$10),Projects!$B$10*(1-SUMPRODUCT((Curves!$B$4:$AO$4)*(COLUMN(Curves!$B$4:$AO$4)-COLUMN(Curves!$B$4)+1&lt;=13-Projects!$C$10+1))),0)</f>
        <v>0</v>
      </c>
      <c r="P13" s="269" t="n">
        <f aca="false">IF(AND(Projects!$G$10="Yes",Projects!$F$10="Yes",14&gt;=Projects!$C$10,14&lt;Projects!$C$10+Projects!$D$10),Projects!$B$10*(1-SUMPRODUCT((Curves!$B$4:$AO$4)*(COLUMN(Curves!$B$4:$AO$4)-COLUMN(Curves!$B$4)+1&lt;=14-Projects!$C$10+1))),0)</f>
        <v>0</v>
      </c>
      <c r="Q13" s="269" t="n">
        <f aca="false">IF(AND(Projects!$G$10="Yes",Projects!$F$10="Yes",15&gt;=Projects!$C$10,15&lt;Projects!$C$10+Projects!$D$10),Projects!$B$10*(1-SUMPRODUCT((Curves!$B$4:$AO$4)*(COLUMN(Curves!$B$4:$AO$4)-COLUMN(Curves!$B$4)+1&lt;=15-Projects!$C$10+1))),0)</f>
        <v>21487539.8072024</v>
      </c>
      <c r="R13" s="269" t="n">
        <f aca="false">IF(AND(Projects!$G$10="Yes",Projects!$F$10="Yes",16&gt;=Projects!$C$10,16&lt;Projects!$C$10+Projects!$D$10),Projects!$B$10*(1-SUMPRODUCT((Curves!$B$4:$AO$4)*(COLUMN(Curves!$B$4:$AO$4)-COLUMN(Curves!$B$4)+1&lt;=16-Projects!$C$10+1))),0)</f>
        <v>20764411.3174149</v>
      </c>
      <c r="S13" s="269" t="n">
        <f aca="false">IF(AND(Projects!$G$10="Yes",Projects!$F$10="Yes",17&gt;=Projects!$C$10,17&lt;Projects!$C$10+Projects!$D$10),Projects!$B$10*(1-SUMPRODUCT((Curves!$B$4:$AO$4)*(COLUMN(Curves!$B$4:$AO$4)-COLUMN(Curves!$B$4)+1&lt;=17-Projects!$C$10+1))),0)</f>
        <v>19892931.233358</v>
      </c>
      <c r="T13" s="269" t="n">
        <f aca="false">IF(AND(Projects!$G$10="Yes",Projects!$F$10="Yes",18&gt;=Projects!$C$10,18&lt;Projects!$C$10+Projects!$D$10),Projects!$B$10*(1-SUMPRODUCT((Curves!$B$4:$AO$4)*(COLUMN(Curves!$B$4:$AO$4)-COLUMN(Curves!$B$4)+1&lt;=18-Projects!$C$10+1))),0)</f>
        <v>18868486.3303326</v>
      </c>
      <c r="U13" s="269" t="n">
        <f aca="false">IF(AND(Projects!$G$10="Yes",Projects!$F$10="Yes",19&gt;=Projects!$C$10,19&lt;Projects!$C$10+Projects!$D$10),Projects!$B$10*(1-SUMPRODUCT((Curves!$B$4:$AO$4)*(COLUMN(Curves!$B$4:$AO$4)-COLUMN(Curves!$B$4)+1&lt;=19-Projects!$C$10+1))),0)</f>
        <v>17693813.6411745</v>
      </c>
      <c r="V13" s="269" t="n">
        <f aca="false">IF(AND(Projects!$G$10="Yes",Projects!$F$10="Yes",20&gt;=Projects!$C$10,20&lt;Projects!$C$10+Projects!$D$10),Projects!$B$10*(1-SUMPRODUCT((Curves!$B$4:$AO$4)*(COLUMN(Curves!$B$4:$AO$4)-COLUMN(Curves!$B$4)+1&lt;=20-Projects!$C$10+1))),0)</f>
        <v>16379993.7342996</v>
      </c>
      <c r="W13" s="269" t="n">
        <f aca="false">IF(AND(Projects!$G$10="Yes",Projects!$F$10="Yes",21&gt;=Projects!$C$10,21&lt;Projects!$C$10+Projects!$D$10),Projects!$B$10*(1-SUMPRODUCT((Curves!$B$4:$AO$4)*(COLUMN(Curves!$B$4:$AO$4)-COLUMN(Curves!$B$4)+1&lt;=21-Projects!$C$10+1))),0)</f>
        <v>14946649.369313</v>
      </c>
      <c r="X13" s="269" t="n">
        <f aca="false">IF(AND(Projects!$G$10="Yes",Projects!$F$10="Yes",22&gt;=Projects!$C$10,22&lt;Projects!$C$10+Projects!$D$10),Projects!$B$10*(1-SUMPRODUCT((Curves!$B$4:$AO$4)*(COLUMN(Curves!$B$4:$AO$4)-COLUMN(Curves!$B$4)+1&lt;=22-Projects!$C$10+1))),0)</f>
        <v>13421327.4573362</v>
      </c>
      <c r="Y13" s="269" t="n">
        <f aca="false">IF(AND(Projects!$G$10="Yes",Projects!$F$10="Yes",23&gt;=Projects!$C$10,23&lt;Projects!$C$10+Projects!$D$10),Projects!$B$10*(1-SUMPRODUCT((Curves!$B$4:$AO$4)*(COLUMN(Curves!$B$4:$AO$4)-COLUMN(Curves!$B$4)+1&lt;=23-Projects!$C$10+1))),0)</f>
        <v>11837998.1075167</v>
      </c>
      <c r="Z13" s="269" t="n">
        <f aca="false">IF(AND(Projects!$G$10="Yes",Projects!$F$10="Yes",24&gt;=Projects!$C$10,24&lt;Projects!$C$10+Projects!$D$10),Projects!$B$10*(1-SUMPRODUCT((Curves!$B$4:$AO$4)*(COLUMN(Curves!$B$4:$AO$4)-COLUMN(Curves!$B$4)+1&lt;=24-Projects!$C$10+1))),0)</f>
        <v>10234847.3424833</v>
      </c>
      <c r="AA13" s="269" t="n">
        <f aca="false">IF(AND(Projects!$G$10="Yes",Projects!$F$10="Yes",25&gt;=Projects!$C$10,25&lt;Projects!$C$10+Projects!$D$10),Projects!$B$10*(1-SUMPRODUCT((Curves!$B$4:$AO$4)*(COLUMN(Curves!$B$4:$AO$4)-COLUMN(Curves!$B$4)+1&lt;=25-Projects!$C$10+1))),0)</f>
        <v>8651517.99266385</v>
      </c>
      <c r="AB13" s="269" t="n">
        <f aca="false">IF(AND(Projects!$G$10="Yes",Projects!$F$10="Yes",26&gt;=Projects!$C$10,26&lt;Projects!$C$10+Projects!$D$10),Projects!$B$10*(1-SUMPRODUCT((Curves!$B$4:$AO$4)*(COLUMN(Curves!$B$4:$AO$4)-COLUMN(Curves!$B$4)+1&lt;=26-Projects!$C$10+1))),0)</f>
        <v>7126196.08068705</v>
      </c>
      <c r="AC13" s="269" t="n">
        <f aca="false">IF(AND(Projects!$G$10="Yes",Projects!$F$10="Yes",27&gt;=Projects!$C$10,27&lt;Projects!$C$10+Projects!$D$10),Projects!$B$10*(1-SUMPRODUCT((Curves!$B$4:$AO$4)*(COLUMN(Curves!$B$4:$AO$4)-COLUMN(Curves!$B$4)+1&lt;=27-Projects!$C$10+1))),0)</f>
        <v>5692851.7157004</v>
      </c>
      <c r="AD13" s="269" t="n">
        <f aca="false">IF(AND(Projects!$G$10="Yes",Projects!$F$10="Yes",28&gt;=Projects!$C$10,28&lt;Projects!$C$10+Projects!$D$10),Projects!$B$10*(1-SUMPRODUCT((Curves!$B$4:$AO$4)*(COLUMN(Curves!$B$4:$AO$4)-COLUMN(Curves!$B$4)+1&lt;=28-Projects!$C$10+1))),0)</f>
        <v>4379031.8088255</v>
      </c>
      <c r="AE13" s="269" t="n">
        <f aca="false">IF(AND(Projects!$G$10="Yes",Projects!$F$10="Yes",29&gt;=Projects!$C$10,29&lt;Projects!$C$10+Projects!$D$10),Projects!$B$10*(1-SUMPRODUCT((Curves!$B$4:$AO$4)*(COLUMN(Curves!$B$4:$AO$4)-COLUMN(Curves!$B$4)+1&lt;=29-Projects!$C$10+1))),0)</f>
        <v>3204359.1196674</v>
      </c>
      <c r="AF13" s="269" t="n">
        <f aca="false">IF(AND(Projects!$G$10="Yes",Projects!$F$10="Yes",30&gt;=Projects!$C$10,30&lt;Projects!$C$10+Projects!$D$10),Projects!$B$10*(1-SUMPRODUCT((Curves!$B$4:$AO$4)*(COLUMN(Curves!$B$4:$AO$4)-COLUMN(Curves!$B$4)+1&lt;=30-Projects!$C$10+1))),0)</f>
        <v>2179914.216642</v>
      </c>
      <c r="AG13" s="269" t="n">
        <f aca="false">IF(AND(Projects!$G$10="Yes",Projects!$F$10="Yes",31&gt;=Projects!$C$10,31&lt;Projects!$C$10+Projects!$D$10),Projects!$B$10*(1-SUMPRODUCT((Curves!$B$4:$AO$4)*(COLUMN(Curves!$B$4:$AO$4)-COLUMN(Curves!$B$4)+1&lt;=31-Projects!$C$10+1))),0)</f>
        <v>1308434.1325851</v>
      </c>
      <c r="AH13" s="269" t="n">
        <f aca="false">IF(AND(Projects!$G$10="Yes",Projects!$F$10="Yes",32&gt;=Projects!$C$10,32&lt;Projects!$C$10+Projects!$D$10),Projects!$B$10*(1-SUMPRODUCT((Curves!$B$4:$AO$4)*(COLUMN(Curves!$B$4:$AO$4)-COLUMN(Curves!$B$4)+1&lt;=32-Projects!$C$10+1))),0)</f>
        <v>585305.64279765</v>
      </c>
      <c r="AI13" s="269" t="n">
        <f aca="false">IF(AND(Projects!$G$10="Yes",Projects!$F$10="Yes",33&gt;=Projects!$C$10,33&lt;Projects!$C$10+Projects!$D$10),Projects!$B$10*(1-SUMPRODUCT((Curves!$B$4:$AO$4)*(COLUMN(Curves!$B$4:$AO$4)-COLUMN(Curves!$B$4)+1&lt;=33-Projects!$C$10+1))),0)</f>
        <v>0</v>
      </c>
      <c r="AJ13" s="269" t="n">
        <f aca="false">IF(AND(Projects!$G$10="Yes",Projects!$F$10="Yes",34&gt;=Projects!$C$10,34&lt;Projects!$C$10+Projects!$D$10),Projects!$B$10*(1-SUMPRODUCT((Curves!$B$4:$AO$4)*(COLUMN(Curves!$B$4:$AO$4)-COLUMN(Curves!$B$4)+1&lt;=34-Projects!$C$10+1))),0)</f>
        <v>0</v>
      </c>
      <c r="AK13" s="269" t="n">
        <f aca="false">IF(AND(Projects!$G$10="Yes",Projects!$F$10="Yes",35&gt;=Projects!$C$10,35&lt;Projects!$C$10+Projects!$D$10),Projects!$B$10*(1-SUMPRODUCT((Curves!$B$4:$AO$4)*(COLUMN(Curves!$B$4:$AO$4)-COLUMN(Curves!$B$4)+1&lt;=35-Projects!$C$10+1))),0)</f>
        <v>0</v>
      </c>
      <c r="AL13" s="269" t="n">
        <f aca="false">IF(AND(Projects!$G$10="Yes",Projects!$F$10="Yes",36&gt;=Projects!$C$10,36&lt;Projects!$C$10+Projects!$D$10),Projects!$B$10*(1-SUMPRODUCT((Curves!$B$4:$AO$4)*(COLUMN(Curves!$B$4:$AO$4)-COLUMN(Curves!$B$4)+1&lt;=36-Projects!$C$10+1))),0)</f>
        <v>0</v>
      </c>
      <c r="AM13" s="269" t="n">
        <f aca="false">IF(AND(Projects!$G$10="Yes",Projects!$F$10="Yes",37&gt;=Projects!$C$10,37&lt;Projects!$C$10+Projects!$D$10),Projects!$B$10*(1-SUMPRODUCT((Curves!$B$4:$AO$4)*(COLUMN(Curves!$B$4:$AO$4)-COLUMN(Curves!$B$4)+1&lt;=37-Projects!$C$10+1))),0)</f>
        <v>0</v>
      </c>
      <c r="AN13" s="269" t="n">
        <f aca="false">IF(AND(Projects!$G$10="Yes",Projects!$F$10="Yes",38&gt;=Projects!$C$10,38&lt;Projects!$C$10+Projects!$D$10),Projects!$B$10*(1-SUMPRODUCT((Curves!$B$4:$AO$4)*(COLUMN(Curves!$B$4:$AO$4)-COLUMN(Curves!$B$4)+1&lt;=38-Projects!$C$10+1))),0)</f>
        <v>0</v>
      </c>
      <c r="AO13" s="269" t="n">
        <f aca="false">IF(AND(Projects!$G$10="Yes",Projects!$F$10="Yes",39&gt;=Projects!$C$10,39&lt;Projects!$C$10+Projects!$D$10),Projects!$B$10*(1-SUMPRODUCT((Curves!$B$4:$AO$4)*(COLUMN(Curves!$B$4:$AO$4)-COLUMN(Curves!$B$4)+1&lt;=39-Projects!$C$10+1))),0)</f>
        <v>0</v>
      </c>
      <c r="AP13" s="269" t="n">
        <f aca="false">IF(AND(Projects!$G$10="Yes",Projects!$F$10="Yes",40&gt;=Projects!$C$10,40&lt;Projects!$C$10+Projects!$D$10),Projects!$B$10*(1-SUMPRODUCT((Curves!$B$4:$AO$4)*(COLUMN(Curves!$B$4:$AO$4)-COLUMN(Curves!$B$4)+1&lt;=40-Projects!$C$10+1))),0)</f>
        <v>0</v>
      </c>
      <c r="AQ13" s="269" t="n">
        <f aca="false">IF(AND(Projects!$G$10="Yes",Projects!$F$10="Yes",41&gt;=Projects!$C$10,41&lt;Projects!$C$10+Projects!$D$10),Projects!$B$10*(1-SUMPRODUCT((Curves!$B$4:$AO$4)*(COLUMN(Curves!$B$4:$AO$4)-COLUMN(Curves!$B$4)+1&lt;=41-Projects!$C$10+1))),0)</f>
        <v>0</v>
      </c>
      <c r="AR13" s="269" t="n">
        <f aca="false">IF(AND(Projects!$G$10="Yes",Projects!$F$10="Yes",42&gt;=Projects!$C$10,42&lt;Projects!$C$10+Projects!$D$10),Projects!$B$10*(1-SUMPRODUCT((Curves!$B$4:$AO$4)*(COLUMN(Curves!$B$4:$AO$4)-COLUMN(Curves!$B$4)+1&lt;=42-Projects!$C$10+1))),0)</f>
        <v>0</v>
      </c>
      <c r="AS13" s="269" t="n">
        <f aca="false">IF(AND(Projects!$G$10="Yes",Projects!$F$10="Yes",43&gt;=Projects!$C$10,43&lt;Projects!$C$10+Projects!$D$10),Projects!$B$10*(1-SUMPRODUCT((Curves!$B$4:$AO$4)*(COLUMN(Curves!$B$4:$AO$4)-COLUMN(Curves!$B$4)+1&lt;=43-Projects!$C$10+1))),0)</f>
        <v>0</v>
      </c>
      <c r="AT13" s="269" t="n">
        <f aca="false">IF(AND(Projects!$G$10="Yes",Projects!$F$10="Yes",44&gt;=Projects!$C$10,44&lt;Projects!$C$10+Projects!$D$10),Projects!$B$10*(1-SUMPRODUCT((Curves!$B$4:$AO$4)*(COLUMN(Curves!$B$4:$AO$4)-COLUMN(Curves!$B$4)+1&lt;=44-Projects!$C$10+1))),0)</f>
        <v>0</v>
      </c>
      <c r="AU13" s="269" t="n">
        <f aca="false">IF(AND(Projects!$G$10="Yes",Projects!$F$10="Yes",45&gt;=Projects!$C$10,45&lt;Projects!$C$10+Projects!$D$10),Projects!$B$10*(1-SUMPRODUCT((Curves!$B$4:$AO$4)*(COLUMN(Curves!$B$4:$AO$4)-COLUMN(Curves!$B$4)+1&lt;=45-Projects!$C$10+1))),0)</f>
        <v>0</v>
      </c>
      <c r="AV13" s="269" t="n">
        <f aca="false">IF(AND(Projects!$G$10="Yes",Projects!$F$10="Yes",46&gt;=Projects!$C$10,46&lt;Projects!$C$10+Projects!$D$10),Projects!$B$10*(1-SUMPRODUCT((Curves!$B$4:$AO$4)*(COLUMN(Curves!$B$4:$AO$4)-COLUMN(Curves!$B$4)+1&lt;=46-Projects!$C$10+1))),0)</f>
        <v>0</v>
      </c>
      <c r="AW13" s="269" t="n">
        <f aca="false">IF(AND(Projects!$G$10="Yes",Projects!$F$10="Yes",47&gt;=Projects!$C$10,47&lt;Projects!$C$10+Projects!$D$10),Projects!$B$10*(1-SUMPRODUCT((Curves!$B$4:$AO$4)*(COLUMN(Curves!$B$4:$AO$4)-COLUMN(Curves!$B$4)+1&lt;=47-Projects!$C$10+1))),0)</f>
        <v>0</v>
      </c>
      <c r="AX13" s="269" t="n">
        <f aca="false">IF(AND(Projects!$G$10="Yes",Projects!$F$10="Yes",48&gt;=Projects!$C$10,48&lt;Projects!$C$10+Projects!$D$10),Projects!$B$10*(1-SUMPRODUCT((Curves!$B$4:$AO$4)*(COLUMN(Curves!$B$4:$AO$4)-COLUMN(Curves!$B$4)+1&lt;=48-Projects!$C$10+1))),0)</f>
        <v>0</v>
      </c>
      <c r="AY13" s="269" t="n">
        <f aca="false">IF(AND(Projects!$G$10="Yes",Projects!$F$10="Yes",49&gt;=Projects!$C$10,49&lt;Projects!$C$10+Projects!$D$10),Projects!$B$10*(1-SUMPRODUCT((Curves!$B$4:$AO$4)*(COLUMN(Curves!$B$4:$AO$4)-COLUMN(Curves!$B$4)+1&lt;=49-Projects!$C$10+1))),0)</f>
        <v>0</v>
      </c>
      <c r="AZ13" s="269" t="n">
        <f aca="false">IF(AND(Projects!$G$10="Yes",Projects!$F$10="Yes",50&gt;=Projects!$C$10,50&lt;Projects!$C$10+Projects!$D$10),Projects!$B$10*(1-SUMPRODUCT((Curves!$B$4:$AO$4)*(COLUMN(Curves!$B$4:$AO$4)-COLUMN(Curves!$B$4)+1&lt;=50-Projects!$C$10+1))),0)</f>
        <v>0</v>
      </c>
      <c r="BA13" s="269" t="n">
        <f aca="false">IF(AND(Projects!$G$10="Yes",Projects!$F$10="Yes",51&gt;=Projects!$C$10,51&lt;Projects!$C$10+Projects!$D$10),Projects!$B$10*(1-SUMPRODUCT((Curves!$B$4:$AO$4)*(COLUMN(Curves!$B$4:$AO$4)-COLUMN(Curves!$B$4)+1&lt;=51-Projects!$C$10+1))),0)</f>
        <v>0</v>
      </c>
      <c r="BB13" s="269" t="n">
        <f aca="false">IF(AND(Projects!$G$10="Yes",Projects!$F$10="Yes",52&gt;=Projects!$C$10,52&lt;Projects!$C$10+Projects!$D$10),Projects!$B$10*(1-SUMPRODUCT((Curves!$B$4:$AO$4)*(COLUMN(Curves!$B$4:$AO$4)-COLUMN(Curves!$B$4)+1&lt;=52-Projects!$C$10+1))),0)</f>
        <v>0</v>
      </c>
      <c r="BC13" s="269" t="n">
        <f aca="false">IF(AND(Projects!$G$10="Yes",Projects!$F$10="Yes",53&gt;=Projects!$C$10,53&lt;Projects!$C$10+Projects!$D$10),Projects!$B$10*(1-SUMPRODUCT((Curves!$B$4:$AO$4)*(COLUMN(Curves!$B$4:$AO$4)-COLUMN(Curves!$B$4)+1&lt;=53-Projects!$C$10+1))),0)</f>
        <v>0</v>
      </c>
      <c r="BD13" s="269" t="n">
        <f aca="false">IF(AND(Projects!$G$10="Yes",Projects!$F$10="Yes",54&gt;=Projects!$C$10,54&lt;Projects!$C$10+Projects!$D$10),Projects!$B$10*(1-SUMPRODUCT((Curves!$B$4:$AO$4)*(COLUMN(Curves!$B$4:$AO$4)-COLUMN(Curves!$B$4)+1&lt;=54-Projects!$C$10+1))),0)</f>
        <v>0</v>
      </c>
      <c r="BE13" s="269" t="n">
        <f aca="false">IF(AND(Projects!$G$10="Yes",Projects!$F$10="Yes",55&gt;=Projects!$C$10,55&lt;Projects!$C$10+Projects!$D$10),Projects!$B$10*(1-SUMPRODUCT((Curves!$B$4:$AO$4)*(COLUMN(Curves!$B$4:$AO$4)-COLUMN(Curves!$B$4)+1&lt;=55-Projects!$C$10+1))),0)</f>
        <v>0</v>
      </c>
      <c r="BF13" s="269" t="n">
        <f aca="false">IF(AND(Projects!$G$10="Yes",Projects!$F$10="Yes",56&gt;=Projects!$C$10,56&lt;Projects!$C$10+Projects!$D$10),Projects!$B$10*(1-SUMPRODUCT((Curves!$B$4:$AO$4)*(COLUMN(Curves!$B$4:$AO$4)-COLUMN(Curves!$B$4)+1&lt;=56-Projects!$C$10+1))),0)</f>
        <v>0</v>
      </c>
      <c r="BG13" s="269" t="n">
        <f aca="false">IF(AND(Projects!$G$10="Yes",Projects!$F$10="Yes",57&gt;=Projects!$C$10,57&lt;Projects!$C$10+Projects!$D$10),Projects!$B$10*(1-SUMPRODUCT((Curves!$B$4:$AO$4)*(COLUMN(Curves!$B$4:$AO$4)-COLUMN(Curves!$B$4)+1&lt;=57-Projects!$C$10+1))),0)</f>
        <v>0</v>
      </c>
      <c r="BH13" s="269" t="n">
        <f aca="false">IF(AND(Projects!$G$10="Yes",Projects!$F$10="Yes",58&gt;=Projects!$C$10,58&lt;Projects!$C$10+Projects!$D$10),Projects!$B$10*(1-SUMPRODUCT((Curves!$B$4:$AO$4)*(COLUMN(Curves!$B$4:$AO$4)-COLUMN(Curves!$B$4)+1&lt;=58-Projects!$C$10+1))),0)</f>
        <v>0</v>
      </c>
      <c r="BI13" s="269" t="n">
        <f aca="false">IF(AND(Projects!$G$10="Yes",Projects!$F$10="Yes",59&gt;=Projects!$C$10,59&lt;Projects!$C$10+Projects!$D$10),Projects!$B$10*(1-SUMPRODUCT((Curves!$B$4:$AO$4)*(COLUMN(Curves!$B$4:$AO$4)-COLUMN(Curves!$B$4)+1&lt;=59-Projects!$C$10+1))),0)</f>
        <v>0</v>
      </c>
      <c r="BJ13" s="269" t="n">
        <f aca="false">IF(AND(Projects!$G$10="Yes",Projects!$F$10="Yes",60&gt;=Projects!$C$10,60&lt;Projects!$C$10+Projects!$D$10),Projects!$B$10*(1-SUMPRODUCT((Curves!$B$4:$AO$4)*(COLUMN(Curves!$B$4:$AO$4)-COLUMN(Curves!$B$4)+1&lt;=60-Projects!$C$10+1))),0)</f>
        <v>0</v>
      </c>
      <c r="BK13" s="269" t="n">
        <f aca="false">IF(AND(Projects!$G$10="Yes",Projects!$F$10="Yes",61&gt;=Projects!$C$10,61&lt;Projects!$C$10+Projects!$D$10),Projects!$B$10*(1-SUMPRODUCT((Curves!$B$4:$AO$4)*(COLUMN(Curves!$B$4:$AO$4)-COLUMN(Curves!$B$4)+1&lt;=61-Projects!$C$10+1))),0)</f>
        <v>0</v>
      </c>
      <c r="BL13" s="269" t="n">
        <f aca="false">IF(AND(Projects!$G$10="Yes",Projects!$F$10="Yes",62&gt;=Projects!$C$10,62&lt;Projects!$C$10+Projects!$D$10),Projects!$B$10*(1-SUMPRODUCT((Curves!$B$4:$AO$4)*(COLUMN(Curves!$B$4:$AO$4)-COLUMN(Curves!$B$4)+1&lt;=62-Projects!$C$10+1))),0)</f>
        <v>0</v>
      </c>
      <c r="BM13" s="269" t="n">
        <f aca="false">IF(AND(Projects!$G$10="Yes",Projects!$F$10="Yes",63&gt;=Projects!$C$10,63&lt;Projects!$C$10+Projects!$D$10),Projects!$B$10*(1-SUMPRODUCT((Curves!$B$4:$AO$4)*(COLUMN(Curves!$B$4:$AO$4)-COLUMN(Curves!$B$4)+1&lt;=63-Projects!$C$10+1))),0)</f>
        <v>0</v>
      </c>
      <c r="BN13" s="269" t="n">
        <f aca="false">IF(AND(Projects!$G$10="Yes",Projects!$F$10="Yes",64&gt;=Projects!$C$10,64&lt;Projects!$C$10+Projects!$D$10),Projects!$B$10*(1-SUMPRODUCT((Curves!$B$4:$AO$4)*(COLUMN(Curves!$B$4:$AO$4)-COLUMN(Curves!$B$4)+1&lt;=64-Projects!$C$10+1))),0)</f>
        <v>0</v>
      </c>
      <c r="BO13" s="269" t="n">
        <f aca="false">IF(AND(Projects!$G$10="Yes",Projects!$F$10="Yes",65&gt;=Projects!$C$10,65&lt;Projects!$C$10+Projects!$D$10),Projects!$B$10*(1-SUMPRODUCT((Curves!$B$4:$AO$4)*(COLUMN(Curves!$B$4:$AO$4)-COLUMN(Curves!$B$4)+1&lt;=65-Projects!$C$10+1))),0)</f>
        <v>0</v>
      </c>
      <c r="BP13" s="269" t="n">
        <f aca="false">IF(AND(Projects!$G$10="Yes",Projects!$F$10="Yes",66&gt;=Projects!$C$10,66&lt;Projects!$C$10+Projects!$D$10),Projects!$B$10*(1-SUMPRODUCT((Curves!$B$4:$AO$4)*(COLUMN(Curves!$B$4:$AO$4)-COLUMN(Curves!$B$4)+1&lt;=66-Projects!$C$10+1))),0)</f>
        <v>0</v>
      </c>
      <c r="BQ13" s="269" t="n">
        <f aca="false">IF(AND(Projects!$G$10="Yes",Projects!$F$10="Yes",67&gt;=Projects!$C$10,67&lt;Projects!$C$10+Projects!$D$10),Projects!$B$10*(1-SUMPRODUCT((Curves!$B$4:$AO$4)*(COLUMN(Curves!$B$4:$AO$4)-COLUMN(Curves!$B$4)+1&lt;=67-Projects!$C$10+1))),0)</f>
        <v>0</v>
      </c>
      <c r="BR13" s="269" t="n">
        <f aca="false">IF(AND(Projects!$G$10="Yes",Projects!$F$10="Yes",68&gt;=Projects!$C$10,68&lt;Projects!$C$10+Projects!$D$10),Projects!$B$10*(1-SUMPRODUCT((Curves!$B$4:$AO$4)*(COLUMN(Curves!$B$4:$AO$4)-COLUMN(Curves!$B$4)+1&lt;=68-Projects!$C$10+1))),0)</f>
        <v>0</v>
      </c>
      <c r="BS13" s="269" t="n">
        <f aca="false">IF(AND(Projects!$G$10="Yes",Projects!$F$10="Yes",69&gt;=Projects!$C$10,69&lt;Projects!$C$10+Projects!$D$10),Projects!$B$10*(1-SUMPRODUCT((Curves!$B$4:$AO$4)*(COLUMN(Curves!$B$4:$AO$4)-COLUMN(Curves!$B$4)+1&lt;=69-Projects!$C$10+1))),0)</f>
        <v>0</v>
      </c>
      <c r="BT13" s="269" t="n">
        <f aca="false">IF(AND(Projects!$G$10="Yes",Projects!$F$10="Yes",70&gt;=Projects!$C$10,70&lt;Projects!$C$10+Projects!$D$10),Projects!$B$10*(1-SUMPRODUCT((Curves!$B$4:$AO$4)*(COLUMN(Curves!$B$4:$AO$4)-COLUMN(Curves!$B$4)+1&lt;=70-Projects!$C$10+1))),0)</f>
        <v>0</v>
      </c>
      <c r="BU13" s="269" t="n">
        <f aca="false">IF(AND(Projects!$G$10="Yes",Projects!$F$10="Yes",71&gt;=Projects!$C$10,71&lt;Projects!$C$10+Projects!$D$10),Projects!$B$10*(1-SUMPRODUCT((Curves!$B$4:$AO$4)*(COLUMN(Curves!$B$4:$AO$4)-COLUMN(Curves!$B$4)+1&lt;=71-Projects!$C$10+1))),0)</f>
        <v>0</v>
      </c>
      <c r="BV13" s="269" t="n">
        <f aca="false">IF(AND(Projects!$G$10="Yes",Projects!$F$10="Yes",72&gt;=Projects!$C$10,72&lt;Projects!$C$10+Projects!$D$10),Projects!$B$10*(1-SUMPRODUCT((Curves!$B$4:$AO$4)*(COLUMN(Curves!$B$4:$AO$4)-COLUMN(Curves!$B$4)+1&lt;=72-Projects!$C$10+1))),0)</f>
        <v>0</v>
      </c>
      <c r="BW13" s="269" t="n">
        <f aca="false">IF(AND(Projects!$G$10="Yes",Projects!$F$10="Yes",73&gt;=Projects!$C$10,73&lt;Projects!$C$10+Projects!$D$10),Projects!$B$10*(1-SUMPRODUCT((Curves!$B$4:$AO$4)*(COLUMN(Curves!$B$4:$AO$4)-COLUMN(Curves!$B$4)+1&lt;=73-Projects!$C$10+1))),0)</f>
        <v>0</v>
      </c>
      <c r="BX13" s="269" t="n">
        <f aca="false">IF(AND(Projects!$G$10="Yes",Projects!$F$10="Yes",74&gt;=Projects!$C$10,74&lt;Projects!$C$10+Projects!$D$10),Projects!$B$10*(1-SUMPRODUCT((Curves!$B$4:$AO$4)*(COLUMN(Curves!$B$4:$AO$4)-COLUMN(Curves!$B$4)+1&lt;=74-Projects!$C$10+1))),0)</f>
        <v>0</v>
      </c>
      <c r="BY13" s="269" t="n">
        <f aca="false">IF(AND(Projects!$G$10="Yes",Projects!$F$10="Yes",75&gt;=Projects!$C$10,75&lt;Projects!$C$10+Projects!$D$10),Projects!$B$10*(1-SUMPRODUCT((Curves!$B$4:$AO$4)*(COLUMN(Curves!$B$4:$AO$4)-COLUMN(Curves!$B$4)+1&lt;=75-Projects!$C$10+1))),0)</f>
        <v>0</v>
      </c>
      <c r="BZ13" s="269" t="n">
        <f aca="false">IF(AND(Projects!$G$10="Yes",Projects!$F$10="Yes",76&gt;=Projects!$C$10,76&lt;Projects!$C$10+Projects!$D$10),Projects!$B$10*(1-SUMPRODUCT((Curves!$B$4:$AO$4)*(COLUMN(Curves!$B$4:$AO$4)-COLUMN(Curves!$B$4)+1&lt;=76-Projects!$C$10+1))),0)</f>
        <v>0</v>
      </c>
      <c r="CA13" s="269" t="n">
        <f aca="false">IF(AND(Projects!$G$10="Yes",Projects!$F$10="Yes",77&gt;=Projects!$C$10,77&lt;Projects!$C$10+Projects!$D$10),Projects!$B$10*(1-SUMPRODUCT((Curves!$B$4:$AO$4)*(COLUMN(Curves!$B$4:$AO$4)-COLUMN(Curves!$B$4)+1&lt;=77-Projects!$C$10+1))),0)</f>
        <v>0</v>
      </c>
      <c r="CB13" s="269" t="n">
        <f aca="false">IF(AND(Projects!$G$10="Yes",Projects!$F$10="Yes",78&gt;=Projects!$C$10,78&lt;Projects!$C$10+Projects!$D$10),Projects!$B$10*(1-SUMPRODUCT((Curves!$B$4:$AO$4)*(COLUMN(Curves!$B$4:$AO$4)-COLUMN(Curves!$B$4)+1&lt;=78-Projects!$C$10+1))),0)</f>
        <v>0</v>
      </c>
      <c r="CC13" s="269" t="n">
        <f aca="false">IF(AND(Projects!$G$10="Yes",Projects!$F$10="Yes",79&gt;=Projects!$C$10,79&lt;Projects!$C$10+Projects!$D$10),Projects!$B$10*(1-SUMPRODUCT((Curves!$B$4:$AO$4)*(COLUMN(Curves!$B$4:$AO$4)-COLUMN(Curves!$B$4)+1&lt;=79-Projects!$C$10+1))),0)</f>
        <v>0</v>
      </c>
      <c r="CD13" s="269" t="n">
        <f aca="false">IF(AND(Projects!$G$10="Yes",Projects!$F$10="Yes",80&gt;=Projects!$C$10,80&lt;Projects!$C$10+Projects!$D$10),Projects!$B$10*(1-SUMPRODUCT((Curves!$B$4:$AO$4)*(COLUMN(Curves!$B$4:$AO$4)-COLUMN(Curves!$B$4)+1&lt;=80-Projects!$C$10+1))),0)</f>
        <v>0</v>
      </c>
      <c r="CE13" s="269" t="n">
        <f aca="false">IF(AND(Projects!$G$10="Yes",Projects!$F$10="Yes",81&gt;=Projects!$C$10,81&lt;Projects!$C$10+Projects!$D$10),Projects!$B$10*(1-SUMPRODUCT((Curves!$B$4:$AO$4)*(COLUMN(Curves!$B$4:$AO$4)-COLUMN(Curves!$B$4)+1&lt;=81-Projects!$C$10+1))),0)</f>
        <v>0</v>
      </c>
      <c r="CF13" s="269" t="n">
        <f aca="false">IF(AND(Projects!$G$10="Yes",Projects!$F$10="Yes",82&gt;=Projects!$C$10,82&lt;Projects!$C$10+Projects!$D$10),Projects!$B$10*(1-SUMPRODUCT((Curves!$B$4:$AO$4)*(COLUMN(Curves!$B$4:$AO$4)-COLUMN(Curves!$B$4)+1&lt;=82-Projects!$C$10+1))),0)</f>
        <v>0</v>
      </c>
      <c r="CG13" s="269" t="n">
        <f aca="false">IF(AND(Projects!$G$10="Yes",Projects!$F$10="Yes",83&gt;=Projects!$C$10,83&lt;Projects!$C$10+Projects!$D$10),Projects!$B$10*(1-SUMPRODUCT((Curves!$B$4:$AO$4)*(COLUMN(Curves!$B$4:$AO$4)-COLUMN(Curves!$B$4)+1&lt;=83-Projects!$C$10+1))),0)</f>
        <v>0</v>
      </c>
      <c r="CH13" s="269" t="n">
        <f aca="false">IF(AND(Projects!$G$10="Yes",Projects!$F$10="Yes",84&gt;=Projects!$C$10,84&lt;Projects!$C$10+Projects!$D$10),Projects!$B$10*(1-SUMPRODUCT((Curves!$B$4:$AO$4)*(COLUMN(Curves!$B$4:$AO$4)-COLUMN(Curves!$B$4)+1&lt;=84-Projects!$C$10+1))),0)</f>
        <v>0</v>
      </c>
      <c r="CI13" s="269" t="n">
        <f aca="false">IF(AND(Projects!$G$10="Yes",Projects!$F$10="Yes",85&gt;=Projects!$C$10,85&lt;Projects!$C$10+Projects!$D$10),Projects!$B$10*(1-SUMPRODUCT((Curves!$B$4:$AO$4)*(COLUMN(Curves!$B$4:$AO$4)-COLUMN(Curves!$B$4)+1&lt;=85-Projects!$C$10+1))),0)</f>
        <v>0</v>
      </c>
      <c r="CJ13" s="269" t="n">
        <f aca="false">IF(AND(Projects!$G$10="Yes",Projects!$F$10="Yes",86&gt;=Projects!$C$10,86&lt;Projects!$C$10+Projects!$D$10),Projects!$B$10*(1-SUMPRODUCT((Curves!$B$4:$AO$4)*(COLUMN(Curves!$B$4:$AO$4)-COLUMN(Curves!$B$4)+1&lt;=86-Projects!$C$10+1))),0)</f>
        <v>0</v>
      </c>
      <c r="CK13" s="269" t="n">
        <f aca="false">IF(AND(Projects!$G$10="Yes",Projects!$F$10="Yes",87&gt;=Projects!$C$10,87&lt;Projects!$C$10+Projects!$D$10),Projects!$B$10*(1-SUMPRODUCT((Curves!$B$4:$AO$4)*(COLUMN(Curves!$B$4:$AO$4)-COLUMN(Curves!$B$4)+1&lt;=87-Projects!$C$10+1))),0)</f>
        <v>0</v>
      </c>
      <c r="CL13" s="269" t="n">
        <f aca="false">IF(AND(Projects!$G$10="Yes",Projects!$F$10="Yes",88&gt;=Projects!$C$10,88&lt;Projects!$C$10+Projects!$D$10),Projects!$B$10*(1-SUMPRODUCT((Curves!$B$4:$AO$4)*(COLUMN(Curves!$B$4:$AO$4)-COLUMN(Curves!$B$4)+1&lt;=88-Projects!$C$10+1))),0)</f>
        <v>0</v>
      </c>
      <c r="CM13" s="269" t="n">
        <f aca="false">IF(AND(Projects!$G$10="Yes",Projects!$F$10="Yes",89&gt;=Projects!$C$10,89&lt;Projects!$C$10+Projects!$D$10),Projects!$B$10*(1-SUMPRODUCT((Curves!$B$4:$AO$4)*(COLUMN(Curves!$B$4:$AO$4)-COLUMN(Curves!$B$4)+1&lt;=89-Projects!$C$10+1))),0)</f>
        <v>0</v>
      </c>
      <c r="CN13" s="269" t="n">
        <f aca="false">IF(AND(Projects!$G$10="Yes",Projects!$F$10="Yes",90&gt;=Projects!$C$10,90&lt;Projects!$C$10+Projects!$D$10),Projects!$B$10*(1-SUMPRODUCT((Curves!$B$4:$AO$4)*(COLUMN(Curves!$B$4:$AO$4)-COLUMN(Curves!$B$4)+1&lt;=90-Projects!$C$10+1))),0)</f>
        <v>0</v>
      </c>
      <c r="CO13" s="269" t="n">
        <f aca="false">IF(AND(Projects!$G$10="Yes",Projects!$F$10="Yes",91&gt;=Projects!$C$10,91&lt;Projects!$C$10+Projects!$D$10),Projects!$B$10*(1-SUMPRODUCT((Curves!$B$4:$AO$4)*(COLUMN(Curves!$B$4:$AO$4)-COLUMN(Curves!$B$4)+1&lt;=91-Projects!$C$10+1))),0)</f>
        <v>0</v>
      </c>
      <c r="CP13" s="269" t="n">
        <f aca="false">IF(AND(Projects!$G$10="Yes",Projects!$F$10="Yes",92&gt;=Projects!$C$10,92&lt;Projects!$C$10+Projects!$D$10),Projects!$B$10*(1-SUMPRODUCT((Curves!$B$4:$AO$4)*(COLUMN(Curves!$B$4:$AO$4)-COLUMN(Curves!$B$4)+1&lt;=92-Projects!$C$10+1))),0)</f>
        <v>0</v>
      </c>
      <c r="CQ13" s="26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87" t="s">
        <v>18</v>
      </c>
      <c r="C14" s="269" t="n">
        <f aca="false">IF(AND(Projects!$G$13="Yes",Projects!$F$13="Yes",1&gt;=Projects!$C$13,1&lt;Projects!$C$13+Projects!$D$13),Projects!$B$13*(1-SUMPRODUCT((Curves!$B$2:$AO$2)*(COLUMN(Curves!$B$2:$AO$2)-COLUMN(Curves!$B$2)+1&lt;=1-Projects!$C$13+1))),0)</f>
        <v>0</v>
      </c>
      <c r="D14" s="269" t="n">
        <f aca="false">IF(AND(Projects!$G$13="Yes",Projects!$F$13="Yes",2&gt;=Projects!$C$13,2&lt;Projects!$C$13+Projects!$D$13),Projects!$B$13*(1-SUMPRODUCT((Curves!$B$2:$AO$2)*(COLUMN(Curves!$B$2:$AO$2)-COLUMN(Curves!$B$2)+1&lt;=2-Projects!$C$13+1))),0)</f>
        <v>0</v>
      </c>
      <c r="E14" s="269" t="n">
        <f aca="false">IF(AND(Projects!$G$13="Yes",Projects!$F$13="Yes",3&gt;=Projects!$C$13,3&lt;Projects!$C$13+Projects!$D$13),Projects!$B$13*(1-SUMPRODUCT((Curves!$B$2:$AO$2)*(COLUMN(Curves!$B$2:$AO$2)-COLUMN(Curves!$B$2)+1&lt;=3-Projects!$C$13+1))),0)</f>
        <v>0</v>
      </c>
      <c r="F14" s="269" t="n">
        <f aca="false">IF(AND(Projects!$G$13="Yes",Projects!$F$13="Yes",4&gt;=Projects!$C$13,4&lt;Projects!$C$13+Projects!$D$13),Projects!$B$13*(1-SUMPRODUCT((Curves!$B$2:$AO$2)*(COLUMN(Curves!$B$2:$AO$2)-COLUMN(Curves!$B$2)+1&lt;=4-Projects!$C$13+1))),0)</f>
        <v>0</v>
      </c>
      <c r="G14" s="269" t="n">
        <f aca="false">IF(AND(Projects!$G$13="Yes",Projects!$F$13="Yes",5&gt;=Projects!$C$13,5&lt;Projects!$C$13+Projects!$D$13),Projects!$B$13*(1-SUMPRODUCT((Curves!$B$2:$AO$2)*(COLUMN(Curves!$B$2:$AO$2)-COLUMN(Curves!$B$2)+1&lt;=5-Projects!$C$13+1))),0)</f>
        <v>0</v>
      </c>
      <c r="H14" s="269" t="n">
        <f aca="false">IF(AND(Projects!$G$13="Yes",Projects!$F$13="Yes",6&gt;=Projects!$C$13,6&lt;Projects!$C$13+Projects!$D$13),Projects!$B$13*(1-SUMPRODUCT((Curves!$B$2:$AO$2)*(COLUMN(Curves!$B$2:$AO$2)-COLUMN(Curves!$B$2)+1&lt;=6-Projects!$C$13+1))),0)</f>
        <v>0</v>
      </c>
      <c r="I14" s="269" t="n">
        <f aca="false">IF(AND(Projects!$G$13="Yes",Projects!$F$13="Yes",7&gt;=Projects!$C$13,7&lt;Projects!$C$13+Projects!$D$13),Projects!$B$13*(1-SUMPRODUCT((Curves!$B$2:$AO$2)*(COLUMN(Curves!$B$2:$AO$2)-COLUMN(Curves!$B$2)+1&lt;=7-Projects!$C$13+1))),0)</f>
        <v>0</v>
      </c>
      <c r="J14" s="269" t="n">
        <f aca="false">IF(AND(Projects!$G$13="Yes",Projects!$F$13="Yes",8&gt;=Projects!$C$13,8&lt;Projects!$C$13+Projects!$D$13),Projects!$B$13*(1-SUMPRODUCT((Curves!$B$2:$AO$2)*(COLUMN(Curves!$B$2:$AO$2)-COLUMN(Curves!$B$2)+1&lt;=8-Projects!$C$13+1))),0)</f>
        <v>0</v>
      </c>
      <c r="K14" s="269" t="n">
        <f aca="false">IF(AND(Projects!$G$13="Yes",Projects!$F$13="Yes",9&gt;=Projects!$C$13,9&lt;Projects!$C$13+Projects!$D$13),Projects!$B$13*(1-SUMPRODUCT((Curves!$B$2:$AO$2)*(COLUMN(Curves!$B$2:$AO$2)-COLUMN(Curves!$B$2)+1&lt;=9-Projects!$C$13+1))),0)</f>
        <v>0</v>
      </c>
      <c r="L14" s="269" t="n">
        <f aca="false">IF(AND(Projects!$G$13="Yes",Projects!$F$13="Yes",10&gt;=Projects!$C$13,10&lt;Projects!$C$13+Projects!$D$13),Projects!$B$13*(1-SUMPRODUCT((Curves!$B$2:$AO$2)*(COLUMN(Curves!$B$2:$AO$2)-COLUMN(Curves!$B$2)+1&lt;=10-Projects!$C$13+1))),0)</f>
        <v>0</v>
      </c>
      <c r="M14" s="269" t="n">
        <f aca="false">IF(AND(Projects!$G$13="Yes",Projects!$F$13="Yes",11&gt;=Projects!$C$13,11&lt;Projects!$C$13+Projects!$D$13),Projects!$B$13*(1-SUMPRODUCT((Curves!$B$2:$AO$2)*(COLUMN(Curves!$B$2:$AO$2)-COLUMN(Curves!$B$2)+1&lt;=11-Projects!$C$13+1))),0)</f>
        <v>0</v>
      </c>
      <c r="N14" s="269" t="n">
        <f aca="false">IF(AND(Projects!$G$13="Yes",Projects!$F$13="Yes",12&gt;=Projects!$C$13,12&lt;Projects!$C$13+Projects!$D$13),Projects!$B$13*(1-SUMPRODUCT((Curves!$B$2:$AO$2)*(COLUMN(Curves!$B$2:$AO$2)-COLUMN(Curves!$B$2)+1&lt;=12-Projects!$C$13+1))),0)</f>
        <v>0</v>
      </c>
      <c r="O14" s="269" t="n">
        <f aca="false">IF(AND(Projects!$G$13="Yes",Projects!$F$13="Yes",13&gt;=Projects!$C$13,13&lt;Projects!$C$13+Projects!$D$13),Projects!$B$13*(1-SUMPRODUCT((Curves!$B$2:$AO$2)*(COLUMN(Curves!$B$2:$AO$2)-COLUMN(Curves!$B$2)+1&lt;=13-Projects!$C$13+1))),0)</f>
        <v>0</v>
      </c>
      <c r="P14" s="269" t="n">
        <f aca="false">IF(AND(Projects!$G$13="Yes",Projects!$F$13="Yes",14&gt;=Projects!$C$13,14&lt;Projects!$C$13+Projects!$D$13),Projects!$B$13*(1-SUMPRODUCT((Curves!$B$2:$AO$2)*(COLUMN(Curves!$B$2:$AO$2)-COLUMN(Curves!$B$2)+1&lt;=14-Projects!$C$13+1))),0)</f>
        <v>0</v>
      </c>
      <c r="Q14" s="269" t="n">
        <f aca="false">IF(AND(Projects!$G$13="Yes",Projects!$F$13="Yes",15&gt;=Projects!$C$13,15&lt;Projects!$C$13+Projects!$D$13),Projects!$B$13*(1-SUMPRODUCT((Curves!$B$2:$AO$2)*(COLUMN(Curves!$B$2:$AO$2)-COLUMN(Curves!$B$2)+1&lt;=15-Projects!$C$13+1))),0)</f>
        <v>44537929.73623</v>
      </c>
      <c r="R14" s="269" t="n">
        <f aca="false">IF(AND(Projects!$G$13="Yes",Projects!$F$13="Yes",16&gt;=Projects!$C$13,16&lt;Projects!$C$13+Projects!$D$13),Projects!$B$13*(1-SUMPRODUCT((Curves!$B$2:$AO$2)*(COLUMN(Curves!$B$2:$AO$2)-COLUMN(Curves!$B$2)+1&lt;=16-Projects!$C$13+1))),0)</f>
        <v>43699679.68937</v>
      </c>
      <c r="S14" s="269" t="n">
        <f aca="false">IF(AND(Projects!$G$13="Yes",Projects!$F$13="Yes",17&gt;=Projects!$C$13,17&lt;Projects!$C$13+Projects!$D$13),Projects!$B$13*(1-SUMPRODUCT((Curves!$B$2:$AO$2)*(COLUMN(Curves!$B$2:$AO$2)-COLUMN(Curves!$B$2)+1&lt;=17-Projects!$C$13+1))),0)</f>
        <v>42745139.31038</v>
      </c>
      <c r="T14" s="269" t="n">
        <f aca="false">IF(AND(Projects!$G$13="Yes",Projects!$F$13="Yes",18&gt;=Projects!$C$13,18&lt;Projects!$C$13+Projects!$D$13),Projects!$B$13*(1-SUMPRODUCT((Curves!$B$2:$AO$2)*(COLUMN(Curves!$B$2:$AO$2)-COLUMN(Curves!$B$2)+1&lt;=18-Projects!$C$13+1))),0)</f>
        <v>41669012.38717</v>
      </c>
      <c r="U14" s="269" t="n">
        <f aca="false">IF(AND(Projects!$G$13="Yes",Projects!$F$13="Yes",19&gt;=Projects!$C$13,19&lt;Projects!$C$13+Projects!$D$13),Projects!$B$13*(1-SUMPRODUCT((Curves!$B$2:$AO$2)*(COLUMN(Curves!$B$2:$AO$2)-COLUMN(Curves!$B$2)+1&lt;=19-Projects!$C$13+1))),0)</f>
        <v>40467858.64522</v>
      </c>
      <c r="V14" s="269" t="n">
        <f aca="false">IF(AND(Projects!$G$13="Yes",Projects!$F$13="Yes",20&gt;=Projects!$C$13,20&lt;Projects!$C$13+Projects!$D$13),Projects!$B$13*(1-SUMPRODUCT((Curves!$B$2:$AO$2)*(COLUMN(Curves!$B$2:$AO$2)-COLUMN(Curves!$B$2)+1&lt;=20-Projects!$C$13+1))),0)</f>
        <v>39140501.14851</v>
      </c>
      <c r="W14" s="269" t="n">
        <f aca="false">IF(AND(Projects!$G$13="Yes",Projects!$F$13="Yes",21&gt;=Projects!$C$13,21&lt;Projects!$C$13+Projects!$D$13),Projects!$B$13*(1-SUMPRODUCT((Curves!$B$2:$AO$2)*(COLUMN(Curves!$B$2:$AO$2)-COLUMN(Curves!$B$2)+1&lt;=21-Projects!$C$13+1))),0)</f>
        <v>37688252.63337</v>
      </c>
      <c r="X14" s="269" t="n">
        <f aca="false">IF(AND(Projects!$G$13="Yes",Projects!$F$13="Yes",22&gt;=Projects!$C$13,22&lt;Projects!$C$13+Projects!$D$13),Projects!$B$13*(1-SUMPRODUCT((Curves!$B$2:$AO$2)*(COLUMN(Curves!$B$2:$AO$2)-COLUMN(Curves!$B$2)+1&lt;=22-Projects!$C$13+1))),0)</f>
        <v>36115141.84233</v>
      </c>
      <c r="Y14" s="269" t="n">
        <f aca="false">IF(AND(Projects!$G$13="Yes",Projects!$F$13="Yes",23&gt;=Projects!$C$13,23&lt;Projects!$C$13+Projects!$D$13),Projects!$B$13*(1-SUMPRODUCT((Curves!$B$2:$AO$2)*(COLUMN(Curves!$B$2:$AO$2)-COLUMN(Curves!$B$2)+1&lt;=23-Projects!$C$13+1))),0)</f>
        <v>34428094.5912</v>
      </c>
      <c r="Z14" s="269" t="n">
        <f aca="false">IF(AND(Projects!$G$13="Yes",Projects!$F$13="Yes",24&gt;=Projects!$C$13,24&lt;Projects!$C$13+Projects!$D$13),Projects!$B$13*(1-SUMPRODUCT((Curves!$B$2:$AO$2)*(COLUMN(Curves!$B$2:$AO$2)-COLUMN(Curves!$B$2)+1&lt;=24-Projects!$C$13+1))),0)</f>
        <v>32636797.96876</v>
      </c>
      <c r="AA14" s="269" t="n">
        <f aca="false">IF(AND(Projects!$G$13="Yes",Projects!$F$13="Yes",25&gt;=Projects!$C$13,25&lt;Projects!$C$13+Projects!$D$13),Projects!$B$13*(1-SUMPRODUCT((Curves!$B$2:$AO$2)*(COLUMN(Curves!$B$2:$AO$2)-COLUMN(Curves!$B$2)+1&lt;=25-Projects!$C$13+1))),0)</f>
        <v>30753745.60353</v>
      </c>
      <c r="AB14" s="269" t="n">
        <f aca="false">IF(AND(Projects!$G$13="Yes",Projects!$F$13="Yes",26&gt;=Projects!$C$13,26&lt;Projects!$C$13+Projects!$D$13),Projects!$B$13*(1-SUMPRODUCT((Curves!$B$2:$AO$2)*(COLUMN(Curves!$B$2:$AO$2)-COLUMN(Curves!$B$2)+1&lt;=26-Projects!$C$13+1))),0)</f>
        <v>28793920.79638</v>
      </c>
      <c r="AC14" s="269" t="n">
        <f aca="false">IF(AND(Projects!$G$13="Yes",Projects!$F$13="Yes",27&gt;=Projects!$C$13,27&lt;Projects!$C$13+Projects!$D$13),Projects!$B$13*(1-SUMPRODUCT((Curves!$B$2:$AO$2)*(COLUMN(Curves!$B$2:$AO$2)-COLUMN(Curves!$B$2)+1&lt;=27-Projects!$C$13+1))),0)</f>
        <v>26774434.38637</v>
      </c>
      <c r="AD14" s="269" t="n">
        <f aca="false">IF(AND(Projects!$G$13="Yes",Projects!$F$13="Yes",28&gt;=Projects!$C$13,28&lt;Projects!$C$13+Projects!$D$13),Projects!$B$13*(1-SUMPRODUCT((Curves!$B$2:$AO$2)*(COLUMN(Curves!$B$2:$AO$2)-COLUMN(Curves!$B$2)+1&lt;=28-Projects!$C$13+1))),0)</f>
        <v>24714207.88336</v>
      </c>
      <c r="AE14" s="269" t="n">
        <f aca="false">IF(AND(Projects!$G$13="Yes",Projects!$F$13="Yes",29&gt;=Projects!$C$13,29&lt;Projects!$C$13+Projects!$D$13),Projects!$B$13*(1-SUMPRODUCT((Curves!$B$2:$AO$2)*(COLUMN(Curves!$B$2:$AO$2)-COLUMN(Curves!$B$2)+1&lt;=29-Projects!$C$13+1))),0)</f>
        <v>22633294.46646</v>
      </c>
      <c r="AF14" s="269" t="n">
        <f aca="false">IF(AND(Projects!$G$13="Yes",Projects!$F$13="Yes",30&gt;=Projects!$C$13,30&lt;Projects!$C$13+Projects!$D$13),Projects!$B$13*(1-SUMPRODUCT((Curves!$B$2:$AO$2)*(COLUMN(Curves!$B$2:$AO$2)-COLUMN(Curves!$B$2)+1&lt;=30-Projects!$C$13+1))),0)</f>
        <v>20552381.04956</v>
      </c>
      <c r="AG14" s="269" t="n">
        <f aca="false">IF(AND(Projects!$G$13="Yes",Projects!$F$13="Yes",31&gt;=Projects!$C$13,31&lt;Projects!$C$13+Projects!$D$13),Projects!$B$13*(1-SUMPRODUCT((Curves!$B$2:$AO$2)*(COLUMN(Curves!$B$2:$AO$2)-COLUMN(Curves!$B$2)+1&lt;=31-Projects!$C$13+1))),0)</f>
        <v>18492154.54655</v>
      </c>
      <c r="AH14" s="269" t="n">
        <f aca="false">IF(AND(Projects!$G$13="Yes",Projects!$F$13="Yes",32&gt;=Projects!$C$13,32&lt;Projects!$C$13+Projects!$D$13),Projects!$B$13*(1-SUMPRODUCT((Curves!$B$2:$AO$2)*(COLUMN(Curves!$B$2:$AO$2)-COLUMN(Curves!$B$2)+1&lt;=32-Projects!$C$13+1))),0)</f>
        <v>16472668.13654</v>
      </c>
      <c r="AI14" s="269" t="n">
        <f aca="false">IF(AND(Projects!$G$13="Yes",Projects!$F$13="Yes",33&gt;=Projects!$C$13,33&lt;Projects!$C$13+Projects!$D$13),Projects!$B$13*(1-SUMPRODUCT((Curves!$B$2:$AO$2)*(COLUMN(Curves!$B$2:$AO$2)-COLUMN(Curves!$B$2)+1&lt;=33-Projects!$C$13+1))),0)</f>
        <v>14512843.32939</v>
      </c>
      <c r="AJ14" s="269" t="n">
        <f aca="false">IF(AND(Projects!$G$13="Yes",Projects!$F$13="Yes",34&gt;=Projects!$C$13,34&lt;Projects!$C$13+Projects!$D$13),Projects!$B$13*(1-SUMPRODUCT((Curves!$B$2:$AO$2)*(COLUMN(Curves!$B$2:$AO$2)-COLUMN(Curves!$B$2)+1&lt;=34-Projects!$C$13+1))),0)</f>
        <v>12629790.96416</v>
      </c>
      <c r="AK14" s="269" t="n">
        <f aca="false">IF(AND(Projects!$G$13="Yes",Projects!$F$13="Yes",35&gt;=Projects!$C$13,35&lt;Projects!$C$13+Projects!$D$13),Projects!$B$13*(1-SUMPRODUCT((Curves!$B$2:$AO$2)*(COLUMN(Curves!$B$2:$AO$2)-COLUMN(Curves!$B$2)+1&lt;=35-Projects!$C$13+1))),0)</f>
        <v>10838494.34172</v>
      </c>
      <c r="AL14" s="269" t="n">
        <f aca="false">IF(AND(Projects!$G$13="Yes",Projects!$F$13="Yes",36&gt;=Projects!$C$13,36&lt;Projects!$C$13+Projects!$D$13),Projects!$B$13*(1-SUMPRODUCT((Curves!$B$2:$AO$2)*(COLUMN(Curves!$B$2:$AO$2)-COLUMN(Curves!$B$2)+1&lt;=36-Projects!$C$13+1))),0)</f>
        <v>9151447.09059</v>
      </c>
      <c r="AM14" s="269" t="n">
        <f aca="false">IF(AND(Projects!$G$13="Yes",Projects!$F$13="Yes",37&gt;=Projects!$C$13,37&lt;Projects!$C$13+Projects!$D$13),Projects!$B$13*(1-SUMPRODUCT((Curves!$B$2:$AO$2)*(COLUMN(Curves!$B$2:$AO$2)-COLUMN(Curves!$B$2)+1&lt;=37-Projects!$C$13+1))),0)</f>
        <v>7578336.29955</v>
      </c>
      <c r="AN14" s="269" t="n">
        <f aca="false">IF(AND(Projects!$G$13="Yes",Projects!$F$13="Yes",38&gt;=Projects!$C$13,38&lt;Projects!$C$13+Projects!$D$13),Projects!$B$13*(1-SUMPRODUCT((Curves!$B$2:$AO$2)*(COLUMN(Curves!$B$2:$AO$2)-COLUMN(Curves!$B$2)+1&lt;=38-Projects!$C$13+1))),0)</f>
        <v>6126087.78441</v>
      </c>
      <c r="AO14" s="269" t="n">
        <f aca="false">IF(AND(Projects!$G$13="Yes",Projects!$F$13="Yes",39&gt;=Projects!$C$13,39&lt;Projects!$C$13+Projects!$D$13),Projects!$B$13*(1-SUMPRODUCT((Curves!$B$2:$AO$2)*(COLUMN(Curves!$B$2:$AO$2)-COLUMN(Curves!$B$2)+1&lt;=39-Projects!$C$13+1))),0)</f>
        <v>4798730.2877</v>
      </c>
      <c r="AP14" s="269" t="n">
        <f aca="false">IF(AND(Projects!$G$13="Yes",Projects!$F$13="Yes",40&gt;=Projects!$C$13,40&lt;Projects!$C$13+Projects!$D$13),Projects!$B$13*(1-SUMPRODUCT((Curves!$B$2:$AO$2)*(COLUMN(Curves!$B$2:$AO$2)-COLUMN(Curves!$B$2)+1&lt;=40-Projects!$C$13+1))),0)</f>
        <v>3597576.54575</v>
      </c>
      <c r="AQ14" s="269" t="n">
        <f aca="false">IF(AND(Projects!$G$13="Yes",Projects!$F$13="Yes",41&gt;=Projects!$C$13,41&lt;Projects!$C$13+Projects!$D$13),Projects!$B$13*(1-SUMPRODUCT((Curves!$B$2:$AO$2)*(COLUMN(Curves!$B$2:$AO$2)-COLUMN(Curves!$B$2)+1&lt;=41-Projects!$C$13+1))),0)</f>
        <v>2521449.62254</v>
      </c>
      <c r="AR14" s="269" t="n">
        <f aca="false">IF(AND(Projects!$G$13="Yes",Projects!$F$13="Yes",42&gt;=Projects!$C$13,42&lt;Projects!$C$13+Projects!$D$13),Projects!$B$13*(1-SUMPRODUCT((Curves!$B$2:$AO$2)*(COLUMN(Curves!$B$2:$AO$2)-COLUMN(Curves!$B$2)+1&lt;=42-Projects!$C$13+1))),0)</f>
        <v>1566909.24355</v>
      </c>
      <c r="AS14" s="269" t="n">
        <f aca="false">IF(AND(Projects!$G$13="Yes",Projects!$F$13="Yes",43&gt;=Projects!$C$13,43&lt;Projects!$C$13+Projects!$D$13),Projects!$B$13*(1-SUMPRODUCT((Curves!$B$2:$AO$2)*(COLUMN(Curves!$B$2:$AO$2)-COLUMN(Curves!$B$2)+1&lt;=43-Projects!$C$13+1))),0)</f>
        <v>728659.196690001</v>
      </c>
      <c r="AT14" s="269" t="n">
        <f aca="false">IF(AND(Projects!$G$13="Yes",Projects!$F$13="Yes",44&gt;=Projects!$C$13,44&lt;Projects!$C$13+Projects!$D$13),Projects!$B$13*(1-SUMPRODUCT((Curves!$B$2:$AO$2)*(COLUMN(Curves!$B$2:$AO$2)-COLUMN(Curves!$B$2)+1&lt;=44-Projects!$C$13+1))),0)</f>
        <v>-181.067079995155</v>
      </c>
      <c r="AU14" s="269" t="n">
        <f aca="false">IF(AND(Projects!$G$13="Yes",Projects!$F$13="Yes",45&gt;=Projects!$C$13,45&lt;Projects!$C$13+Projects!$D$13),Projects!$B$13*(1-SUMPRODUCT((Curves!$B$2:$AO$2)*(COLUMN(Curves!$B$2:$AO$2)-COLUMN(Curves!$B$2)+1&lt;=45-Projects!$C$13+1))),0)</f>
        <v>0</v>
      </c>
      <c r="AV14" s="269" t="n">
        <f aca="false">IF(AND(Projects!$G$13="Yes",Projects!$F$13="Yes",46&gt;=Projects!$C$13,46&lt;Projects!$C$13+Projects!$D$13),Projects!$B$13*(1-SUMPRODUCT((Curves!$B$2:$AO$2)*(COLUMN(Curves!$B$2:$AO$2)-COLUMN(Curves!$B$2)+1&lt;=46-Projects!$C$13+1))),0)</f>
        <v>0</v>
      </c>
      <c r="AW14" s="269" t="n">
        <f aca="false">IF(AND(Projects!$G$13="Yes",Projects!$F$13="Yes",47&gt;=Projects!$C$13,47&lt;Projects!$C$13+Projects!$D$13),Projects!$B$13*(1-SUMPRODUCT((Curves!$B$2:$AO$2)*(COLUMN(Curves!$B$2:$AO$2)-COLUMN(Curves!$B$2)+1&lt;=47-Projects!$C$13+1))),0)</f>
        <v>0</v>
      </c>
      <c r="AX14" s="269" t="n">
        <f aca="false">IF(AND(Projects!$G$13="Yes",Projects!$F$13="Yes",48&gt;=Projects!$C$13,48&lt;Projects!$C$13+Projects!$D$13),Projects!$B$13*(1-SUMPRODUCT((Curves!$B$2:$AO$2)*(COLUMN(Curves!$B$2:$AO$2)-COLUMN(Curves!$B$2)+1&lt;=48-Projects!$C$13+1))),0)</f>
        <v>0</v>
      </c>
      <c r="AY14" s="269" t="n">
        <f aca="false">IF(AND(Projects!$G$13="Yes",Projects!$F$13="Yes",49&gt;=Projects!$C$13,49&lt;Projects!$C$13+Projects!$D$13),Projects!$B$13*(1-SUMPRODUCT((Curves!$B$2:$AO$2)*(COLUMN(Curves!$B$2:$AO$2)-COLUMN(Curves!$B$2)+1&lt;=49-Projects!$C$13+1))),0)</f>
        <v>0</v>
      </c>
      <c r="AZ14" s="269" t="n">
        <f aca="false">IF(AND(Projects!$G$13="Yes",Projects!$F$13="Yes",50&gt;=Projects!$C$13,50&lt;Projects!$C$13+Projects!$D$13),Projects!$B$13*(1-SUMPRODUCT((Curves!$B$2:$AO$2)*(COLUMN(Curves!$B$2:$AO$2)-COLUMN(Curves!$B$2)+1&lt;=50-Projects!$C$13+1))),0)</f>
        <v>0</v>
      </c>
      <c r="BA14" s="269" t="n">
        <f aca="false">IF(AND(Projects!$G$13="Yes",Projects!$F$13="Yes",51&gt;=Projects!$C$13,51&lt;Projects!$C$13+Projects!$D$13),Projects!$B$13*(1-SUMPRODUCT((Curves!$B$2:$AO$2)*(COLUMN(Curves!$B$2:$AO$2)-COLUMN(Curves!$B$2)+1&lt;=51-Projects!$C$13+1))),0)</f>
        <v>0</v>
      </c>
      <c r="BB14" s="269" t="n">
        <f aca="false">IF(AND(Projects!$G$13="Yes",Projects!$F$13="Yes",52&gt;=Projects!$C$13,52&lt;Projects!$C$13+Projects!$D$13),Projects!$B$13*(1-SUMPRODUCT((Curves!$B$2:$AO$2)*(COLUMN(Curves!$B$2:$AO$2)-COLUMN(Curves!$B$2)+1&lt;=52-Projects!$C$13+1))),0)</f>
        <v>0</v>
      </c>
      <c r="BC14" s="269" t="n">
        <f aca="false">IF(AND(Projects!$G$13="Yes",Projects!$F$13="Yes",53&gt;=Projects!$C$13,53&lt;Projects!$C$13+Projects!$D$13),Projects!$B$13*(1-SUMPRODUCT((Curves!$B$2:$AO$2)*(COLUMN(Curves!$B$2:$AO$2)-COLUMN(Curves!$B$2)+1&lt;=53-Projects!$C$13+1))),0)</f>
        <v>0</v>
      </c>
      <c r="BD14" s="269" t="n">
        <f aca="false">IF(AND(Projects!$G$13="Yes",Projects!$F$13="Yes",54&gt;=Projects!$C$13,54&lt;Projects!$C$13+Projects!$D$13),Projects!$B$13*(1-SUMPRODUCT((Curves!$B$2:$AO$2)*(COLUMN(Curves!$B$2:$AO$2)-COLUMN(Curves!$B$2)+1&lt;=54-Projects!$C$13+1))),0)</f>
        <v>0</v>
      </c>
      <c r="BE14" s="269" t="n">
        <f aca="false">IF(AND(Projects!$G$13="Yes",Projects!$F$13="Yes",55&gt;=Projects!$C$13,55&lt;Projects!$C$13+Projects!$D$13),Projects!$B$13*(1-SUMPRODUCT((Curves!$B$2:$AO$2)*(COLUMN(Curves!$B$2:$AO$2)-COLUMN(Curves!$B$2)+1&lt;=55-Projects!$C$13+1))),0)</f>
        <v>0</v>
      </c>
      <c r="BF14" s="269" t="n">
        <f aca="false">IF(AND(Projects!$G$13="Yes",Projects!$F$13="Yes",56&gt;=Projects!$C$13,56&lt;Projects!$C$13+Projects!$D$13),Projects!$B$13*(1-SUMPRODUCT((Curves!$B$2:$AO$2)*(COLUMN(Curves!$B$2:$AO$2)-COLUMN(Curves!$B$2)+1&lt;=56-Projects!$C$13+1))),0)</f>
        <v>0</v>
      </c>
      <c r="BG14" s="269" t="n">
        <f aca="false">IF(AND(Projects!$G$13="Yes",Projects!$F$13="Yes",57&gt;=Projects!$C$13,57&lt;Projects!$C$13+Projects!$D$13),Projects!$B$13*(1-SUMPRODUCT((Curves!$B$2:$AO$2)*(COLUMN(Curves!$B$2:$AO$2)-COLUMN(Curves!$B$2)+1&lt;=57-Projects!$C$13+1))),0)</f>
        <v>0</v>
      </c>
      <c r="BH14" s="269" t="n">
        <f aca="false">IF(AND(Projects!$G$13="Yes",Projects!$F$13="Yes",58&gt;=Projects!$C$13,58&lt;Projects!$C$13+Projects!$D$13),Projects!$B$13*(1-SUMPRODUCT((Curves!$B$2:$AO$2)*(COLUMN(Curves!$B$2:$AO$2)-COLUMN(Curves!$B$2)+1&lt;=58-Projects!$C$13+1))),0)</f>
        <v>0</v>
      </c>
      <c r="BI14" s="269" t="n">
        <f aca="false">IF(AND(Projects!$G$13="Yes",Projects!$F$13="Yes",59&gt;=Projects!$C$13,59&lt;Projects!$C$13+Projects!$D$13),Projects!$B$13*(1-SUMPRODUCT((Curves!$B$2:$AO$2)*(COLUMN(Curves!$B$2:$AO$2)-COLUMN(Curves!$B$2)+1&lt;=59-Projects!$C$13+1))),0)</f>
        <v>0</v>
      </c>
      <c r="BJ14" s="269" t="n">
        <f aca="false">IF(AND(Projects!$G$13="Yes",Projects!$F$13="Yes",60&gt;=Projects!$C$13,60&lt;Projects!$C$13+Projects!$D$13),Projects!$B$13*(1-SUMPRODUCT((Curves!$B$2:$AO$2)*(COLUMN(Curves!$B$2:$AO$2)-COLUMN(Curves!$B$2)+1&lt;=60-Projects!$C$13+1))),0)</f>
        <v>0</v>
      </c>
      <c r="BK14" s="269" t="n">
        <f aca="false">IF(AND(Projects!$G$13="Yes",Projects!$F$13="Yes",61&gt;=Projects!$C$13,61&lt;Projects!$C$13+Projects!$D$13),Projects!$B$13*(1-SUMPRODUCT((Curves!$B$2:$AO$2)*(COLUMN(Curves!$B$2:$AO$2)-COLUMN(Curves!$B$2)+1&lt;=61-Projects!$C$13+1))),0)</f>
        <v>0</v>
      </c>
      <c r="BL14" s="269" t="n">
        <f aca="false">IF(AND(Projects!$G$13="Yes",Projects!$F$13="Yes",62&gt;=Projects!$C$13,62&lt;Projects!$C$13+Projects!$D$13),Projects!$B$13*(1-SUMPRODUCT((Curves!$B$2:$AO$2)*(COLUMN(Curves!$B$2:$AO$2)-COLUMN(Curves!$B$2)+1&lt;=62-Projects!$C$13+1))),0)</f>
        <v>0</v>
      </c>
      <c r="BM14" s="269" t="n">
        <f aca="false">IF(AND(Projects!$G$13="Yes",Projects!$F$13="Yes",63&gt;=Projects!$C$13,63&lt;Projects!$C$13+Projects!$D$13),Projects!$B$13*(1-SUMPRODUCT((Curves!$B$2:$AO$2)*(COLUMN(Curves!$B$2:$AO$2)-COLUMN(Curves!$B$2)+1&lt;=63-Projects!$C$13+1))),0)</f>
        <v>0</v>
      </c>
      <c r="BN14" s="269" t="n">
        <f aca="false">IF(AND(Projects!$G$13="Yes",Projects!$F$13="Yes",64&gt;=Projects!$C$13,64&lt;Projects!$C$13+Projects!$D$13),Projects!$B$13*(1-SUMPRODUCT((Curves!$B$2:$AO$2)*(COLUMN(Curves!$B$2:$AO$2)-COLUMN(Curves!$B$2)+1&lt;=64-Projects!$C$13+1))),0)</f>
        <v>0</v>
      </c>
      <c r="BO14" s="269" t="n">
        <f aca="false">IF(AND(Projects!$G$13="Yes",Projects!$F$13="Yes",65&gt;=Projects!$C$13,65&lt;Projects!$C$13+Projects!$D$13),Projects!$B$13*(1-SUMPRODUCT((Curves!$B$2:$AO$2)*(COLUMN(Curves!$B$2:$AO$2)-COLUMN(Curves!$B$2)+1&lt;=65-Projects!$C$13+1))),0)</f>
        <v>0</v>
      </c>
      <c r="BP14" s="269" t="n">
        <f aca="false">IF(AND(Projects!$G$13="Yes",Projects!$F$13="Yes",66&gt;=Projects!$C$13,66&lt;Projects!$C$13+Projects!$D$13),Projects!$B$13*(1-SUMPRODUCT((Curves!$B$2:$AO$2)*(COLUMN(Curves!$B$2:$AO$2)-COLUMN(Curves!$B$2)+1&lt;=66-Projects!$C$13+1))),0)</f>
        <v>0</v>
      </c>
      <c r="BQ14" s="269" t="n">
        <f aca="false">IF(AND(Projects!$G$13="Yes",Projects!$F$13="Yes",67&gt;=Projects!$C$13,67&lt;Projects!$C$13+Projects!$D$13),Projects!$B$13*(1-SUMPRODUCT((Curves!$B$2:$AO$2)*(COLUMN(Curves!$B$2:$AO$2)-COLUMN(Curves!$B$2)+1&lt;=67-Projects!$C$13+1))),0)</f>
        <v>0</v>
      </c>
      <c r="BR14" s="269" t="n">
        <f aca="false">IF(AND(Projects!$G$13="Yes",Projects!$F$13="Yes",68&gt;=Projects!$C$13,68&lt;Projects!$C$13+Projects!$D$13),Projects!$B$13*(1-SUMPRODUCT((Curves!$B$2:$AO$2)*(COLUMN(Curves!$B$2:$AO$2)-COLUMN(Curves!$B$2)+1&lt;=68-Projects!$C$13+1))),0)</f>
        <v>0</v>
      </c>
      <c r="BS14" s="269" t="n">
        <f aca="false">IF(AND(Projects!$G$13="Yes",Projects!$F$13="Yes",69&gt;=Projects!$C$13,69&lt;Projects!$C$13+Projects!$D$13),Projects!$B$13*(1-SUMPRODUCT((Curves!$B$2:$AO$2)*(COLUMN(Curves!$B$2:$AO$2)-COLUMN(Curves!$B$2)+1&lt;=69-Projects!$C$13+1))),0)</f>
        <v>0</v>
      </c>
      <c r="BT14" s="269" t="n">
        <f aca="false">IF(AND(Projects!$G$13="Yes",Projects!$F$13="Yes",70&gt;=Projects!$C$13,70&lt;Projects!$C$13+Projects!$D$13),Projects!$B$13*(1-SUMPRODUCT((Curves!$B$2:$AO$2)*(COLUMN(Curves!$B$2:$AO$2)-COLUMN(Curves!$B$2)+1&lt;=70-Projects!$C$13+1))),0)</f>
        <v>0</v>
      </c>
      <c r="BU14" s="269" t="n">
        <f aca="false">IF(AND(Projects!$G$13="Yes",Projects!$F$13="Yes",71&gt;=Projects!$C$13,71&lt;Projects!$C$13+Projects!$D$13),Projects!$B$13*(1-SUMPRODUCT((Curves!$B$2:$AO$2)*(COLUMN(Curves!$B$2:$AO$2)-COLUMN(Curves!$B$2)+1&lt;=71-Projects!$C$13+1))),0)</f>
        <v>0</v>
      </c>
      <c r="BV14" s="269" t="n">
        <f aca="false">IF(AND(Projects!$G$13="Yes",Projects!$F$13="Yes",72&gt;=Projects!$C$13,72&lt;Projects!$C$13+Projects!$D$13),Projects!$B$13*(1-SUMPRODUCT((Curves!$B$2:$AO$2)*(COLUMN(Curves!$B$2:$AO$2)-COLUMN(Curves!$B$2)+1&lt;=72-Projects!$C$13+1))),0)</f>
        <v>0</v>
      </c>
      <c r="BW14" s="269" t="n">
        <f aca="false">IF(AND(Projects!$G$13="Yes",Projects!$F$13="Yes",73&gt;=Projects!$C$13,73&lt;Projects!$C$13+Projects!$D$13),Projects!$B$13*(1-SUMPRODUCT((Curves!$B$2:$AO$2)*(COLUMN(Curves!$B$2:$AO$2)-COLUMN(Curves!$B$2)+1&lt;=73-Projects!$C$13+1))),0)</f>
        <v>0</v>
      </c>
      <c r="BX14" s="269" t="n">
        <f aca="false">IF(AND(Projects!$G$13="Yes",Projects!$F$13="Yes",74&gt;=Projects!$C$13,74&lt;Projects!$C$13+Projects!$D$13),Projects!$B$13*(1-SUMPRODUCT((Curves!$B$2:$AO$2)*(COLUMN(Curves!$B$2:$AO$2)-COLUMN(Curves!$B$2)+1&lt;=74-Projects!$C$13+1))),0)</f>
        <v>0</v>
      </c>
      <c r="BY14" s="269" t="n">
        <f aca="false">IF(AND(Projects!$G$13="Yes",Projects!$F$13="Yes",75&gt;=Projects!$C$13,75&lt;Projects!$C$13+Projects!$D$13),Projects!$B$13*(1-SUMPRODUCT((Curves!$B$2:$AO$2)*(COLUMN(Curves!$B$2:$AO$2)-COLUMN(Curves!$B$2)+1&lt;=75-Projects!$C$13+1))),0)</f>
        <v>0</v>
      </c>
      <c r="BZ14" s="269" t="n">
        <f aca="false">IF(AND(Projects!$G$13="Yes",Projects!$F$13="Yes",76&gt;=Projects!$C$13,76&lt;Projects!$C$13+Projects!$D$13),Projects!$B$13*(1-SUMPRODUCT((Curves!$B$2:$AO$2)*(COLUMN(Curves!$B$2:$AO$2)-COLUMN(Curves!$B$2)+1&lt;=76-Projects!$C$13+1))),0)</f>
        <v>0</v>
      </c>
      <c r="CA14" s="269" t="n">
        <f aca="false">IF(AND(Projects!$G$13="Yes",Projects!$F$13="Yes",77&gt;=Projects!$C$13,77&lt;Projects!$C$13+Projects!$D$13),Projects!$B$13*(1-SUMPRODUCT((Curves!$B$2:$AO$2)*(COLUMN(Curves!$B$2:$AO$2)-COLUMN(Curves!$B$2)+1&lt;=77-Projects!$C$13+1))),0)</f>
        <v>0</v>
      </c>
      <c r="CB14" s="269" t="n">
        <f aca="false">IF(AND(Projects!$G$13="Yes",Projects!$F$13="Yes",78&gt;=Projects!$C$13,78&lt;Projects!$C$13+Projects!$D$13),Projects!$B$13*(1-SUMPRODUCT((Curves!$B$2:$AO$2)*(COLUMN(Curves!$B$2:$AO$2)-COLUMN(Curves!$B$2)+1&lt;=78-Projects!$C$13+1))),0)</f>
        <v>0</v>
      </c>
      <c r="CC14" s="269" t="n">
        <f aca="false">IF(AND(Projects!$G$13="Yes",Projects!$F$13="Yes",79&gt;=Projects!$C$13,79&lt;Projects!$C$13+Projects!$D$13),Projects!$B$13*(1-SUMPRODUCT((Curves!$B$2:$AO$2)*(COLUMN(Curves!$B$2:$AO$2)-COLUMN(Curves!$B$2)+1&lt;=79-Projects!$C$13+1))),0)</f>
        <v>0</v>
      </c>
      <c r="CD14" s="269" t="n">
        <f aca="false">IF(AND(Projects!$G$13="Yes",Projects!$F$13="Yes",80&gt;=Projects!$C$13,80&lt;Projects!$C$13+Projects!$D$13),Projects!$B$13*(1-SUMPRODUCT((Curves!$B$2:$AO$2)*(COLUMN(Curves!$B$2:$AO$2)-COLUMN(Curves!$B$2)+1&lt;=80-Projects!$C$13+1))),0)</f>
        <v>0</v>
      </c>
      <c r="CE14" s="269" t="n">
        <f aca="false">IF(AND(Projects!$G$13="Yes",Projects!$F$13="Yes",81&gt;=Projects!$C$13,81&lt;Projects!$C$13+Projects!$D$13),Projects!$B$13*(1-SUMPRODUCT((Curves!$B$2:$AO$2)*(COLUMN(Curves!$B$2:$AO$2)-COLUMN(Curves!$B$2)+1&lt;=81-Projects!$C$13+1))),0)</f>
        <v>0</v>
      </c>
      <c r="CF14" s="269" t="n">
        <f aca="false">IF(AND(Projects!$G$13="Yes",Projects!$F$13="Yes",82&gt;=Projects!$C$13,82&lt;Projects!$C$13+Projects!$D$13),Projects!$B$13*(1-SUMPRODUCT((Curves!$B$2:$AO$2)*(COLUMN(Curves!$B$2:$AO$2)-COLUMN(Curves!$B$2)+1&lt;=82-Projects!$C$13+1))),0)</f>
        <v>0</v>
      </c>
      <c r="CG14" s="269" t="n">
        <f aca="false">IF(AND(Projects!$G$13="Yes",Projects!$F$13="Yes",83&gt;=Projects!$C$13,83&lt;Projects!$C$13+Projects!$D$13),Projects!$B$13*(1-SUMPRODUCT((Curves!$B$2:$AO$2)*(COLUMN(Curves!$B$2:$AO$2)-COLUMN(Curves!$B$2)+1&lt;=83-Projects!$C$13+1))),0)</f>
        <v>0</v>
      </c>
      <c r="CH14" s="269" t="n">
        <f aca="false">IF(AND(Projects!$G$13="Yes",Projects!$F$13="Yes",84&gt;=Projects!$C$13,84&lt;Projects!$C$13+Projects!$D$13),Projects!$B$13*(1-SUMPRODUCT((Curves!$B$2:$AO$2)*(COLUMN(Curves!$B$2:$AO$2)-COLUMN(Curves!$B$2)+1&lt;=84-Projects!$C$13+1))),0)</f>
        <v>0</v>
      </c>
      <c r="CI14" s="269" t="n">
        <f aca="false">IF(AND(Projects!$G$13="Yes",Projects!$F$13="Yes",85&gt;=Projects!$C$13,85&lt;Projects!$C$13+Projects!$D$13),Projects!$B$13*(1-SUMPRODUCT((Curves!$B$2:$AO$2)*(COLUMN(Curves!$B$2:$AO$2)-COLUMN(Curves!$B$2)+1&lt;=85-Projects!$C$13+1))),0)</f>
        <v>0</v>
      </c>
      <c r="CJ14" s="269" t="n">
        <f aca="false">IF(AND(Projects!$G$13="Yes",Projects!$F$13="Yes",86&gt;=Projects!$C$13,86&lt;Projects!$C$13+Projects!$D$13),Projects!$B$13*(1-SUMPRODUCT((Curves!$B$2:$AO$2)*(COLUMN(Curves!$B$2:$AO$2)-COLUMN(Curves!$B$2)+1&lt;=86-Projects!$C$13+1))),0)</f>
        <v>0</v>
      </c>
      <c r="CK14" s="269" t="n">
        <f aca="false">IF(AND(Projects!$G$13="Yes",Projects!$F$13="Yes",87&gt;=Projects!$C$13,87&lt;Projects!$C$13+Projects!$D$13),Projects!$B$13*(1-SUMPRODUCT((Curves!$B$2:$AO$2)*(COLUMN(Curves!$B$2:$AO$2)-COLUMN(Curves!$B$2)+1&lt;=87-Projects!$C$13+1))),0)</f>
        <v>0</v>
      </c>
      <c r="CL14" s="269" t="n">
        <f aca="false">IF(AND(Projects!$G$13="Yes",Projects!$F$13="Yes",88&gt;=Projects!$C$13,88&lt;Projects!$C$13+Projects!$D$13),Projects!$B$13*(1-SUMPRODUCT((Curves!$B$2:$AO$2)*(COLUMN(Curves!$B$2:$AO$2)-COLUMN(Curves!$B$2)+1&lt;=88-Projects!$C$13+1))),0)</f>
        <v>0</v>
      </c>
      <c r="CM14" s="269" t="n">
        <f aca="false">IF(AND(Projects!$G$13="Yes",Projects!$F$13="Yes",89&gt;=Projects!$C$13,89&lt;Projects!$C$13+Projects!$D$13),Projects!$B$13*(1-SUMPRODUCT((Curves!$B$2:$AO$2)*(COLUMN(Curves!$B$2:$AO$2)-COLUMN(Curves!$B$2)+1&lt;=89-Projects!$C$13+1))),0)</f>
        <v>0</v>
      </c>
      <c r="CN14" s="269" t="n">
        <f aca="false">IF(AND(Projects!$G$13="Yes",Projects!$F$13="Yes",90&gt;=Projects!$C$13,90&lt;Projects!$C$13+Projects!$D$13),Projects!$B$13*(1-SUMPRODUCT((Curves!$B$2:$AO$2)*(COLUMN(Curves!$B$2:$AO$2)-COLUMN(Curves!$B$2)+1&lt;=90-Projects!$C$13+1))),0)</f>
        <v>0</v>
      </c>
      <c r="CO14" s="269" t="n">
        <f aca="false">IF(AND(Projects!$G$13="Yes",Projects!$F$13="Yes",91&gt;=Projects!$C$13,91&lt;Projects!$C$13+Projects!$D$13),Projects!$B$13*(1-SUMPRODUCT((Curves!$B$2:$AO$2)*(COLUMN(Curves!$B$2:$AO$2)-COLUMN(Curves!$B$2)+1&lt;=91-Projects!$C$13+1))),0)</f>
        <v>0</v>
      </c>
      <c r="CP14" s="269" t="n">
        <f aca="false">IF(AND(Projects!$G$13="Yes",Projects!$F$13="Yes",92&gt;=Projects!$C$13,92&lt;Projects!$C$13+Projects!$D$13),Projects!$B$13*(1-SUMPRODUCT((Curves!$B$2:$AO$2)*(COLUMN(Curves!$B$2:$AO$2)-COLUMN(Curves!$B$2)+1&lt;=92-Projects!$C$13+1))),0)</f>
        <v>0</v>
      </c>
      <c r="CQ14" s="26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87" t="s">
        <v>19</v>
      </c>
      <c r="C15" s="269" t="n">
        <f aca="false">IF(AND(Projects!$G$14="Yes",Projects!$F$14="Yes",1&gt;=Projects!$C$14,1&lt;Projects!$C$14+Projects!$D$14),Projects!$B$14*(1-SUMPRODUCT((Curves!$B$2:$AO$2)*(COLUMN(Curves!$B$2:$AO$2)-COLUMN(Curves!$B$2)+1&lt;=1-Projects!$C$14+1))),0)</f>
        <v>0</v>
      </c>
      <c r="D15" s="269" t="n">
        <f aca="false">IF(AND(Projects!$G$14="Yes",Projects!$F$14="Yes",2&gt;=Projects!$C$14,2&lt;Projects!$C$14+Projects!$D$14),Projects!$B$14*(1-SUMPRODUCT((Curves!$B$2:$AO$2)*(COLUMN(Curves!$B$2:$AO$2)-COLUMN(Curves!$B$2)+1&lt;=2-Projects!$C$14+1))),0)</f>
        <v>0</v>
      </c>
      <c r="E15" s="269" t="n">
        <f aca="false">IF(AND(Projects!$G$14="Yes",Projects!$F$14="Yes",3&gt;=Projects!$C$14,3&lt;Projects!$C$14+Projects!$D$14),Projects!$B$14*(1-SUMPRODUCT((Curves!$B$2:$AO$2)*(COLUMN(Curves!$B$2:$AO$2)-COLUMN(Curves!$B$2)+1&lt;=3-Projects!$C$14+1))),0)</f>
        <v>0</v>
      </c>
      <c r="F15" s="269" t="n">
        <f aca="false">IF(AND(Projects!$G$14="Yes",Projects!$F$14="Yes",4&gt;=Projects!$C$14,4&lt;Projects!$C$14+Projects!$D$14),Projects!$B$14*(1-SUMPRODUCT((Curves!$B$2:$AO$2)*(COLUMN(Curves!$B$2:$AO$2)-COLUMN(Curves!$B$2)+1&lt;=4-Projects!$C$14+1))),0)</f>
        <v>0</v>
      </c>
      <c r="G15" s="269" t="n">
        <f aca="false">IF(AND(Projects!$G$14="Yes",Projects!$F$14="Yes",5&gt;=Projects!$C$14,5&lt;Projects!$C$14+Projects!$D$14),Projects!$B$14*(1-SUMPRODUCT((Curves!$B$2:$AO$2)*(COLUMN(Curves!$B$2:$AO$2)-COLUMN(Curves!$B$2)+1&lt;=5-Projects!$C$14+1))),0)</f>
        <v>0</v>
      </c>
      <c r="H15" s="269" t="n">
        <f aca="false">IF(AND(Projects!$G$14="Yes",Projects!$F$14="Yes",6&gt;=Projects!$C$14,6&lt;Projects!$C$14+Projects!$D$14),Projects!$B$14*(1-SUMPRODUCT((Curves!$B$2:$AO$2)*(COLUMN(Curves!$B$2:$AO$2)-COLUMN(Curves!$B$2)+1&lt;=6-Projects!$C$14+1))),0)</f>
        <v>0</v>
      </c>
      <c r="I15" s="269" t="n">
        <f aca="false">IF(AND(Projects!$G$14="Yes",Projects!$F$14="Yes",7&gt;=Projects!$C$14,7&lt;Projects!$C$14+Projects!$D$14),Projects!$B$14*(1-SUMPRODUCT((Curves!$B$2:$AO$2)*(COLUMN(Curves!$B$2:$AO$2)-COLUMN(Curves!$B$2)+1&lt;=7-Projects!$C$14+1))),0)</f>
        <v>0</v>
      </c>
      <c r="J15" s="269" t="n">
        <f aca="false">IF(AND(Projects!$G$14="Yes",Projects!$F$14="Yes",8&gt;=Projects!$C$14,8&lt;Projects!$C$14+Projects!$D$14),Projects!$B$14*(1-SUMPRODUCT((Curves!$B$2:$AO$2)*(COLUMN(Curves!$B$2:$AO$2)-COLUMN(Curves!$B$2)+1&lt;=8-Projects!$C$14+1))),0)</f>
        <v>0</v>
      </c>
      <c r="K15" s="269" t="n">
        <f aca="false">IF(AND(Projects!$G$14="Yes",Projects!$F$14="Yes",9&gt;=Projects!$C$14,9&lt;Projects!$C$14+Projects!$D$14),Projects!$B$14*(1-SUMPRODUCT((Curves!$B$2:$AO$2)*(COLUMN(Curves!$B$2:$AO$2)-COLUMN(Curves!$B$2)+1&lt;=9-Projects!$C$14+1))),0)</f>
        <v>0</v>
      </c>
      <c r="L15" s="269" t="n">
        <f aca="false">IF(AND(Projects!$G$14="Yes",Projects!$F$14="Yes",10&gt;=Projects!$C$14,10&lt;Projects!$C$14+Projects!$D$14),Projects!$B$14*(1-SUMPRODUCT((Curves!$B$2:$AO$2)*(COLUMN(Curves!$B$2:$AO$2)-COLUMN(Curves!$B$2)+1&lt;=10-Projects!$C$14+1))),0)</f>
        <v>0</v>
      </c>
      <c r="M15" s="269" t="n">
        <f aca="false">IF(AND(Projects!$G$14="Yes",Projects!$F$14="Yes",11&gt;=Projects!$C$14,11&lt;Projects!$C$14+Projects!$D$14),Projects!$B$14*(1-SUMPRODUCT((Curves!$B$2:$AO$2)*(COLUMN(Curves!$B$2:$AO$2)-COLUMN(Curves!$B$2)+1&lt;=11-Projects!$C$14+1))),0)</f>
        <v>0</v>
      </c>
      <c r="N15" s="269" t="n">
        <f aca="false">IF(AND(Projects!$G$14="Yes",Projects!$F$14="Yes",12&gt;=Projects!$C$14,12&lt;Projects!$C$14+Projects!$D$14),Projects!$B$14*(1-SUMPRODUCT((Curves!$B$2:$AO$2)*(COLUMN(Curves!$B$2:$AO$2)-COLUMN(Curves!$B$2)+1&lt;=12-Projects!$C$14+1))),0)</f>
        <v>0</v>
      </c>
      <c r="O15" s="269" t="n">
        <f aca="false">IF(AND(Projects!$G$14="Yes",Projects!$F$14="Yes",13&gt;=Projects!$C$14,13&lt;Projects!$C$14+Projects!$D$14),Projects!$B$14*(1-SUMPRODUCT((Curves!$B$2:$AO$2)*(COLUMN(Curves!$B$2:$AO$2)-COLUMN(Curves!$B$2)+1&lt;=13-Projects!$C$14+1))),0)</f>
        <v>0</v>
      </c>
      <c r="P15" s="269" t="n">
        <f aca="false">IF(AND(Projects!$G$14="Yes",Projects!$F$14="Yes",14&gt;=Projects!$C$14,14&lt;Projects!$C$14+Projects!$D$14),Projects!$B$14*(1-SUMPRODUCT((Curves!$B$2:$AO$2)*(COLUMN(Curves!$B$2:$AO$2)-COLUMN(Curves!$B$2)+1&lt;=14-Projects!$C$14+1))),0)</f>
        <v>0</v>
      </c>
      <c r="Q15" s="269" t="n">
        <f aca="false">IF(AND(Projects!$G$14="Yes",Projects!$F$14="Yes",15&gt;=Projects!$C$14,15&lt;Projects!$C$14+Projects!$D$14),Projects!$B$14*(1-SUMPRODUCT((Curves!$B$2:$AO$2)*(COLUMN(Curves!$B$2:$AO$2)-COLUMN(Curves!$B$2)+1&lt;=15-Projects!$C$14+1))),0)</f>
        <v>0</v>
      </c>
      <c r="R15" s="269" t="n">
        <f aca="false">IF(AND(Projects!$G$14="Yes",Projects!$F$14="Yes",16&gt;=Projects!$C$14,16&lt;Projects!$C$14+Projects!$D$14),Projects!$B$14*(1-SUMPRODUCT((Curves!$B$2:$AO$2)*(COLUMN(Curves!$B$2:$AO$2)-COLUMN(Curves!$B$2)+1&lt;=16-Projects!$C$14+1))),0)</f>
        <v>0</v>
      </c>
      <c r="S15" s="269" t="n">
        <f aca="false">IF(AND(Projects!$G$14="Yes",Projects!$F$14="Yes",17&gt;=Projects!$C$14,17&lt;Projects!$C$14+Projects!$D$14),Projects!$B$14*(1-SUMPRODUCT((Curves!$B$2:$AO$2)*(COLUMN(Curves!$B$2:$AO$2)-COLUMN(Curves!$B$2)+1&lt;=17-Projects!$C$14+1))),0)</f>
        <v>0</v>
      </c>
      <c r="T15" s="269" t="n">
        <f aca="false">IF(AND(Projects!$G$14="Yes",Projects!$F$14="Yes",18&gt;=Projects!$C$14,18&lt;Projects!$C$14+Projects!$D$14),Projects!$B$14*(1-SUMPRODUCT((Curves!$B$2:$AO$2)*(COLUMN(Curves!$B$2:$AO$2)-COLUMN(Curves!$B$2)+1&lt;=18-Projects!$C$14+1))),0)</f>
        <v>0</v>
      </c>
      <c r="U15" s="269" t="n">
        <f aca="false">IF(AND(Projects!$G$14="Yes",Projects!$F$14="Yes",19&gt;=Projects!$C$14,19&lt;Projects!$C$14+Projects!$D$14),Projects!$B$14*(1-SUMPRODUCT((Curves!$B$2:$AO$2)*(COLUMN(Curves!$B$2:$AO$2)-COLUMN(Curves!$B$2)+1&lt;=19-Projects!$C$14+1))),0)</f>
        <v>0</v>
      </c>
      <c r="V15" s="269" t="n">
        <f aca="false">IF(AND(Projects!$G$14="Yes",Projects!$F$14="Yes",20&gt;=Projects!$C$14,20&lt;Projects!$C$14+Projects!$D$14),Projects!$B$14*(1-SUMPRODUCT((Curves!$B$2:$AO$2)*(COLUMN(Curves!$B$2:$AO$2)-COLUMN(Curves!$B$2)+1&lt;=20-Projects!$C$14+1))),0)</f>
        <v>0</v>
      </c>
      <c r="W15" s="269" t="n">
        <f aca="false">IF(AND(Projects!$G$14="Yes",Projects!$F$14="Yes",21&gt;=Projects!$C$14,21&lt;Projects!$C$14+Projects!$D$14),Projects!$B$14*(1-SUMPRODUCT((Curves!$B$2:$AO$2)*(COLUMN(Curves!$B$2:$AO$2)-COLUMN(Curves!$B$2)+1&lt;=21-Projects!$C$14+1))),0)</f>
        <v>0</v>
      </c>
      <c r="X15" s="269" t="n">
        <f aca="false">IF(AND(Projects!$G$14="Yes",Projects!$F$14="Yes",22&gt;=Projects!$C$14,22&lt;Projects!$C$14+Projects!$D$14),Projects!$B$14*(1-SUMPRODUCT((Curves!$B$2:$AO$2)*(COLUMN(Curves!$B$2:$AO$2)-COLUMN(Curves!$B$2)+1&lt;=22-Projects!$C$14+1))),0)</f>
        <v>0</v>
      </c>
      <c r="Y15" s="269" t="n">
        <f aca="false">IF(AND(Projects!$G$14="Yes",Projects!$F$14="Yes",23&gt;=Projects!$C$14,23&lt;Projects!$C$14+Projects!$D$14),Projects!$B$14*(1-SUMPRODUCT((Curves!$B$2:$AO$2)*(COLUMN(Curves!$B$2:$AO$2)-COLUMN(Curves!$B$2)+1&lt;=23-Projects!$C$14+1))),0)</f>
        <v>0</v>
      </c>
      <c r="Z15" s="269" t="n">
        <f aca="false">IF(AND(Projects!$G$14="Yes",Projects!$F$14="Yes",24&gt;=Projects!$C$14,24&lt;Projects!$C$14+Projects!$D$14),Projects!$B$14*(1-SUMPRODUCT((Curves!$B$2:$AO$2)*(COLUMN(Curves!$B$2:$AO$2)-COLUMN(Curves!$B$2)+1&lt;=24-Projects!$C$14+1))),0)</f>
        <v>0</v>
      </c>
      <c r="AA15" s="269" t="n">
        <f aca="false">IF(AND(Projects!$G$14="Yes",Projects!$F$14="Yes",25&gt;=Projects!$C$14,25&lt;Projects!$C$14+Projects!$D$14),Projects!$B$14*(1-SUMPRODUCT((Curves!$B$2:$AO$2)*(COLUMN(Curves!$B$2:$AO$2)-COLUMN(Curves!$B$2)+1&lt;=25-Projects!$C$14+1))),0)</f>
        <v>0</v>
      </c>
      <c r="AB15" s="269" t="n">
        <f aca="false">IF(AND(Projects!$G$14="Yes",Projects!$F$14="Yes",26&gt;=Projects!$C$14,26&lt;Projects!$C$14+Projects!$D$14),Projects!$B$14*(1-SUMPRODUCT((Curves!$B$2:$AO$2)*(COLUMN(Curves!$B$2:$AO$2)-COLUMN(Curves!$B$2)+1&lt;=26-Projects!$C$14+1))),0)</f>
        <v>0</v>
      </c>
      <c r="AC15" s="269" t="n">
        <f aca="false">IF(AND(Projects!$G$14="Yes",Projects!$F$14="Yes",27&gt;=Projects!$C$14,27&lt;Projects!$C$14+Projects!$D$14),Projects!$B$14*(1-SUMPRODUCT((Curves!$B$2:$AO$2)*(COLUMN(Curves!$B$2:$AO$2)-COLUMN(Curves!$B$2)+1&lt;=27-Projects!$C$14+1))),0)</f>
        <v>0</v>
      </c>
      <c r="AD15" s="269" t="n">
        <f aca="false">IF(AND(Projects!$G$14="Yes",Projects!$F$14="Yes",28&gt;=Projects!$C$14,28&lt;Projects!$C$14+Projects!$D$14),Projects!$B$14*(1-SUMPRODUCT((Curves!$B$2:$AO$2)*(COLUMN(Curves!$B$2:$AO$2)-COLUMN(Curves!$B$2)+1&lt;=28-Projects!$C$14+1))),0)</f>
        <v>0</v>
      </c>
      <c r="AE15" s="269" t="n">
        <f aca="false">IF(AND(Projects!$G$14="Yes",Projects!$F$14="Yes",29&gt;=Projects!$C$14,29&lt;Projects!$C$14+Projects!$D$14),Projects!$B$14*(1-SUMPRODUCT((Curves!$B$2:$AO$2)*(COLUMN(Curves!$B$2:$AO$2)-COLUMN(Curves!$B$2)+1&lt;=29-Projects!$C$14+1))),0)</f>
        <v>0</v>
      </c>
      <c r="AF15" s="269" t="n">
        <f aca="false">IF(AND(Projects!$G$14="Yes",Projects!$F$14="Yes",30&gt;=Projects!$C$14,30&lt;Projects!$C$14+Projects!$D$14),Projects!$B$14*(1-SUMPRODUCT((Curves!$B$2:$AO$2)*(COLUMN(Curves!$B$2:$AO$2)-COLUMN(Curves!$B$2)+1&lt;=30-Projects!$C$14+1))),0)</f>
        <v>0</v>
      </c>
      <c r="AG15" s="269" t="n">
        <f aca="false">IF(AND(Projects!$G$14="Yes",Projects!$F$14="Yes",31&gt;=Projects!$C$14,31&lt;Projects!$C$14+Projects!$D$14),Projects!$B$14*(1-SUMPRODUCT((Curves!$B$2:$AO$2)*(COLUMN(Curves!$B$2:$AO$2)-COLUMN(Curves!$B$2)+1&lt;=31-Projects!$C$14+1))),0)</f>
        <v>0</v>
      </c>
      <c r="AH15" s="269" t="n">
        <f aca="false">IF(AND(Projects!$G$14="Yes",Projects!$F$14="Yes",32&gt;=Projects!$C$14,32&lt;Projects!$C$14+Projects!$D$14),Projects!$B$14*(1-SUMPRODUCT((Curves!$B$2:$AO$2)*(COLUMN(Curves!$B$2:$AO$2)-COLUMN(Curves!$B$2)+1&lt;=32-Projects!$C$14+1))),0)</f>
        <v>0</v>
      </c>
      <c r="AI15" s="269" t="n">
        <f aca="false">IF(AND(Projects!$G$14="Yes",Projects!$F$14="Yes",33&gt;=Projects!$C$14,33&lt;Projects!$C$14+Projects!$D$14),Projects!$B$14*(1-SUMPRODUCT((Curves!$B$2:$AO$2)*(COLUMN(Curves!$B$2:$AO$2)-COLUMN(Curves!$B$2)+1&lt;=33-Projects!$C$14+1))),0)</f>
        <v>0</v>
      </c>
      <c r="AJ15" s="269" t="n">
        <f aca="false">IF(AND(Projects!$G$14="Yes",Projects!$F$14="Yes",34&gt;=Projects!$C$14,34&lt;Projects!$C$14+Projects!$D$14),Projects!$B$14*(1-SUMPRODUCT((Curves!$B$2:$AO$2)*(COLUMN(Curves!$B$2:$AO$2)-COLUMN(Curves!$B$2)+1&lt;=34-Projects!$C$14+1))),0)</f>
        <v>0</v>
      </c>
      <c r="AK15" s="269" t="n">
        <f aca="false">IF(AND(Projects!$G$14="Yes",Projects!$F$14="Yes",35&gt;=Projects!$C$14,35&lt;Projects!$C$14+Projects!$D$14),Projects!$B$14*(1-SUMPRODUCT((Curves!$B$2:$AO$2)*(COLUMN(Curves!$B$2:$AO$2)-COLUMN(Curves!$B$2)+1&lt;=35-Projects!$C$14+1))),0)</f>
        <v>0</v>
      </c>
      <c r="AL15" s="269" t="n">
        <f aca="false">IF(AND(Projects!$G$14="Yes",Projects!$F$14="Yes",36&gt;=Projects!$C$14,36&lt;Projects!$C$14+Projects!$D$14),Projects!$B$14*(1-SUMPRODUCT((Curves!$B$2:$AO$2)*(COLUMN(Curves!$B$2:$AO$2)-COLUMN(Curves!$B$2)+1&lt;=36-Projects!$C$14+1))),0)</f>
        <v>0</v>
      </c>
      <c r="AM15" s="269" t="n">
        <f aca="false">IF(AND(Projects!$G$14="Yes",Projects!$F$14="Yes",37&gt;=Projects!$C$14,37&lt;Projects!$C$14+Projects!$D$14),Projects!$B$14*(1-SUMPRODUCT((Curves!$B$2:$AO$2)*(COLUMN(Curves!$B$2:$AO$2)-COLUMN(Curves!$B$2)+1&lt;=37-Projects!$C$14+1))),0)</f>
        <v>0</v>
      </c>
      <c r="AN15" s="269" t="n">
        <f aca="false">IF(AND(Projects!$G$14="Yes",Projects!$F$14="Yes",38&gt;=Projects!$C$14,38&lt;Projects!$C$14+Projects!$D$14),Projects!$B$14*(1-SUMPRODUCT((Curves!$B$2:$AO$2)*(COLUMN(Curves!$B$2:$AO$2)-COLUMN(Curves!$B$2)+1&lt;=38-Projects!$C$14+1))),0)</f>
        <v>0</v>
      </c>
      <c r="AO15" s="269" t="n">
        <f aca="false">IF(AND(Projects!$G$14="Yes",Projects!$F$14="Yes",39&gt;=Projects!$C$14,39&lt;Projects!$C$14+Projects!$D$14),Projects!$B$14*(1-SUMPRODUCT((Curves!$B$2:$AO$2)*(COLUMN(Curves!$B$2:$AO$2)-COLUMN(Curves!$B$2)+1&lt;=39-Projects!$C$14+1))),0)</f>
        <v>0</v>
      </c>
      <c r="AP15" s="269" t="n">
        <f aca="false">IF(AND(Projects!$G$14="Yes",Projects!$F$14="Yes",40&gt;=Projects!$C$14,40&lt;Projects!$C$14+Projects!$D$14),Projects!$B$14*(1-SUMPRODUCT((Curves!$B$2:$AO$2)*(COLUMN(Curves!$B$2:$AO$2)-COLUMN(Curves!$B$2)+1&lt;=40-Projects!$C$14+1))),0)</f>
        <v>0</v>
      </c>
      <c r="AQ15" s="269" t="n">
        <f aca="false">IF(AND(Projects!$G$14="Yes",Projects!$F$14="Yes",41&gt;=Projects!$C$14,41&lt;Projects!$C$14+Projects!$D$14),Projects!$B$14*(1-SUMPRODUCT((Curves!$B$2:$AO$2)*(COLUMN(Curves!$B$2:$AO$2)-COLUMN(Curves!$B$2)+1&lt;=41-Projects!$C$14+1))),0)</f>
        <v>0</v>
      </c>
      <c r="AR15" s="269" t="n">
        <f aca="false">IF(AND(Projects!$G$14="Yes",Projects!$F$14="Yes",42&gt;=Projects!$C$14,42&lt;Projects!$C$14+Projects!$D$14),Projects!$B$14*(1-SUMPRODUCT((Curves!$B$2:$AO$2)*(COLUMN(Curves!$B$2:$AO$2)-COLUMN(Curves!$B$2)+1&lt;=42-Projects!$C$14+1))),0)</f>
        <v>0</v>
      </c>
      <c r="AS15" s="269" t="n">
        <f aca="false">IF(AND(Projects!$G$14="Yes",Projects!$F$14="Yes",43&gt;=Projects!$C$14,43&lt;Projects!$C$14+Projects!$D$14),Projects!$B$14*(1-SUMPRODUCT((Curves!$B$2:$AO$2)*(COLUMN(Curves!$B$2:$AO$2)-COLUMN(Curves!$B$2)+1&lt;=43-Projects!$C$14+1))),0)</f>
        <v>0</v>
      </c>
      <c r="AT15" s="269" t="n">
        <f aca="false">IF(AND(Projects!$G$14="Yes",Projects!$F$14="Yes",44&gt;=Projects!$C$14,44&lt;Projects!$C$14+Projects!$D$14),Projects!$B$14*(1-SUMPRODUCT((Curves!$B$2:$AO$2)*(COLUMN(Curves!$B$2:$AO$2)-COLUMN(Curves!$B$2)+1&lt;=44-Projects!$C$14+1))),0)</f>
        <v>0</v>
      </c>
      <c r="AU15" s="269" t="n">
        <f aca="false">IF(AND(Projects!$G$14="Yes",Projects!$F$14="Yes",45&gt;=Projects!$C$14,45&lt;Projects!$C$14+Projects!$D$14),Projects!$B$14*(1-SUMPRODUCT((Curves!$B$2:$AO$2)*(COLUMN(Curves!$B$2:$AO$2)-COLUMN(Curves!$B$2)+1&lt;=45-Projects!$C$14+1))),0)</f>
        <v>0</v>
      </c>
      <c r="AV15" s="269" t="n">
        <f aca="false">IF(AND(Projects!$G$14="Yes",Projects!$F$14="Yes",46&gt;=Projects!$C$14,46&lt;Projects!$C$14+Projects!$D$14),Projects!$B$14*(1-SUMPRODUCT((Curves!$B$2:$AO$2)*(COLUMN(Curves!$B$2:$AO$2)-COLUMN(Curves!$B$2)+1&lt;=46-Projects!$C$14+1))),0)</f>
        <v>0</v>
      </c>
      <c r="AW15" s="269" t="n">
        <f aca="false">IF(AND(Projects!$G$14="Yes",Projects!$F$14="Yes",47&gt;=Projects!$C$14,47&lt;Projects!$C$14+Projects!$D$14),Projects!$B$14*(1-SUMPRODUCT((Curves!$B$2:$AO$2)*(COLUMN(Curves!$B$2:$AO$2)-COLUMN(Curves!$B$2)+1&lt;=47-Projects!$C$14+1))),0)</f>
        <v>0</v>
      </c>
      <c r="AX15" s="269" t="n">
        <f aca="false">IF(AND(Projects!$G$14="Yes",Projects!$F$14="Yes",48&gt;=Projects!$C$14,48&lt;Projects!$C$14+Projects!$D$14),Projects!$B$14*(1-SUMPRODUCT((Curves!$B$2:$AO$2)*(COLUMN(Curves!$B$2:$AO$2)-COLUMN(Curves!$B$2)+1&lt;=48-Projects!$C$14+1))),0)</f>
        <v>0</v>
      </c>
      <c r="AY15" s="269" t="n">
        <f aca="false">IF(AND(Projects!$G$14="Yes",Projects!$F$14="Yes",49&gt;=Projects!$C$14,49&lt;Projects!$C$14+Projects!$D$14),Projects!$B$14*(1-SUMPRODUCT((Curves!$B$2:$AO$2)*(COLUMN(Curves!$B$2:$AO$2)-COLUMN(Curves!$B$2)+1&lt;=49-Projects!$C$14+1))),0)</f>
        <v>0</v>
      </c>
      <c r="AZ15" s="269" t="n">
        <f aca="false">IF(AND(Projects!$G$14="Yes",Projects!$F$14="Yes",50&gt;=Projects!$C$14,50&lt;Projects!$C$14+Projects!$D$14),Projects!$B$14*(1-SUMPRODUCT((Curves!$B$2:$AO$2)*(COLUMN(Curves!$B$2:$AO$2)-COLUMN(Curves!$B$2)+1&lt;=50-Projects!$C$14+1))),0)</f>
        <v>0</v>
      </c>
      <c r="BA15" s="269" t="n">
        <f aca="false">IF(AND(Projects!$G$14="Yes",Projects!$F$14="Yes",51&gt;=Projects!$C$14,51&lt;Projects!$C$14+Projects!$D$14),Projects!$B$14*(1-SUMPRODUCT((Curves!$B$2:$AO$2)*(COLUMN(Curves!$B$2:$AO$2)-COLUMN(Curves!$B$2)+1&lt;=51-Projects!$C$14+1))),0)</f>
        <v>0</v>
      </c>
      <c r="BB15" s="269" t="n">
        <f aca="false">IF(AND(Projects!$G$14="Yes",Projects!$F$14="Yes",52&gt;=Projects!$C$14,52&lt;Projects!$C$14+Projects!$D$14),Projects!$B$14*(1-SUMPRODUCT((Curves!$B$2:$AO$2)*(COLUMN(Curves!$B$2:$AO$2)-COLUMN(Curves!$B$2)+1&lt;=52-Projects!$C$14+1))),0)</f>
        <v>0</v>
      </c>
      <c r="BC15" s="269" t="n">
        <f aca="false">IF(AND(Projects!$G$14="Yes",Projects!$F$14="Yes",53&gt;=Projects!$C$14,53&lt;Projects!$C$14+Projects!$D$14),Projects!$B$14*(1-SUMPRODUCT((Curves!$B$2:$AO$2)*(COLUMN(Curves!$B$2:$AO$2)-COLUMN(Curves!$B$2)+1&lt;=53-Projects!$C$14+1))),0)</f>
        <v>0</v>
      </c>
      <c r="BD15" s="269" t="n">
        <f aca="false">IF(AND(Projects!$G$14="Yes",Projects!$F$14="Yes",54&gt;=Projects!$C$14,54&lt;Projects!$C$14+Projects!$D$14),Projects!$B$14*(1-SUMPRODUCT((Curves!$B$2:$AO$2)*(COLUMN(Curves!$B$2:$AO$2)-COLUMN(Curves!$B$2)+1&lt;=54-Projects!$C$14+1))),0)</f>
        <v>0</v>
      </c>
      <c r="BE15" s="269" t="n">
        <f aca="false">IF(AND(Projects!$G$14="Yes",Projects!$F$14="Yes",55&gt;=Projects!$C$14,55&lt;Projects!$C$14+Projects!$D$14),Projects!$B$14*(1-SUMPRODUCT((Curves!$B$2:$AO$2)*(COLUMN(Curves!$B$2:$AO$2)-COLUMN(Curves!$B$2)+1&lt;=55-Projects!$C$14+1))),0)</f>
        <v>0</v>
      </c>
      <c r="BF15" s="269" t="n">
        <f aca="false">IF(AND(Projects!$G$14="Yes",Projects!$F$14="Yes",56&gt;=Projects!$C$14,56&lt;Projects!$C$14+Projects!$D$14),Projects!$B$14*(1-SUMPRODUCT((Curves!$B$2:$AO$2)*(COLUMN(Curves!$B$2:$AO$2)-COLUMN(Curves!$B$2)+1&lt;=56-Projects!$C$14+1))),0)</f>
        <v>0</v>
      </c>
      <c r="BG15" s="269" t="n">
        <f aca="false">IF(AND(Projects!$G$14="Yes",Projects!$F$14="Yes",57&gt;=Projects!$C$14,57&lt;Projects!$C$14+Projects!$D$14),Projects!$B$14*(1-SUMPRODUCT((Curves!$B$2:$AO$2)*(COLUMN(Curves!$B$2:$AO$2)-COLUMN(Curves!$B$2)+1&lt;=57-Projects!$C$14+1))),0)</f>
        <v>0</v>
      </c>
      <c r="BH15" s="269" t="n">
        <f aca="false">IF(AND(Projects!$G$14="Yes",Projects!$F$14="Yes",58&gt;=Projects!$C$14,58&lt;Projects!$C$14+Projects!$D$14),Projects!$B$14*(1-SUMPRODUCT((Curves!$B$2:$AO$2)*(COLUMN(Curves!$B$2:$AO$2)-COLUMN(Curves!$B$2)+1&lt;=58-Projects!$C$14+1))),0)</f>
        <v>0</v>
      </c>
      <c r="BI15" s="269" t="n">
        <f aca="false">IF(AND(Projects!$G$14="Yes",Projects!$F$14="Yes",59&gt;=Projects!$C$14,59&lt;Projects!$C$14+Projects!$D$14),Projects!$B$14*(1-SUMPRODUCT((Curves!$B$2:$AO$2)*(COLUMN(Curves!$B$2:$AO$2)-COLUMN(Curves!$B$2)+1&lt;=59-Projects!$C$14+1))),0)</f>
        <v>0</v>
      </c>
      <c r="BJ15" s="269" t="n">
        <f aca="false">IF(AND(Projects!$G$14="Yes",Projects!$F$14="Yes",60&gt;=Projects!$C$14,60&lt;Projects!$C$14+Projects!$D$14),Projects!$B$14*(1-SUMPRODUCT((Curves!$B$2:$AO$2)*(COLUMN(Curves!$B$2:$AO$2)-COLUMN(Curves!$B$2)+1&lt;=60-Projects!$C$14+1))),0)</f>
        <v>0</v>
      </c>
      <c r="BK15" s="269" t="n">
        <f aca="false">IF(AND(Projects!$G$14="Yes",Projects!$F$14="Yes",61&gt;=Projects!$C$14,61&lt;Projects!$C$14+Projects!$D$14),Projects!$B$14*(1-SUMPRODUCT((Curves!$B$2:$AO$2)*(COLUMN(Curves!$B$2:$AO$2)-COLUMN(Curves!$B$2)+1&lt;=61-Projects!$C$14+1))),0)</f>
        <v>0</v>
      </c>
      <c r="BL15" s="269" t="n">
        <f aca="false">IF(AND(Projects!$G$14="Yes",Projects!$F$14="Yes",62&gt;=Projects!$C$14,62&lt;Projects!$C$14+Projects!$D$14),Projects!$B$14*(1-SUMPRODUCT((Curves!$B$2:$AO$2)*(COLUMN(Curves!$B$2:$AO$2)-COLUMN(Curves!$B$2)+1&lt;=62-Projects!$C$14+1))),0)</f>
        <v>0</v>
      </c>
      <c r="BM15" s="269" t="n">
        <f aca="false">IF(AND(Projects!$G$14="Yes",Projects!$F$14="Yes",63&gt;=Projects!$C$14,63&lt;Projects!$C$14+Projects!$D$14),Projects!$B$14*(1-SUMPRODUCT((Curves!$B$2:$AO$2)*(COLUMN(Curves!$B$2:$AO$2)-COLUMN(Curves!$B$2)+1&lt;=63-Projects!$C$14+1))),0)</f>
        <v>0</v>
      </c>
      <c r="BN15" s="269" t="n">
        <f aca="false">IF(AND(Projects!$G$14="Yes",Projects!$F$14="Yes",64&gt;=Projects!$C$14,64&lt;Projects!$C$14+Projects!$D$14),Projects!$B$14*(1-SUMPRODUCT((Curves!$B$2:$AO$2)*(COLUMN(Curves!$B$2:$AO$2)-COLUMN(Curves!$B$2)+1&lt;=64-Projects!$C$14+1))),0)</f>
        <v>0</v>
      </c>
      <c r="BO15" s="269" t="n">
        <f aca="false">IF(AND(Projects!$G$14="Yes",Projects!$F$14="Yes",65&gt;=Projects!$C$14,65&lt;Projects!$C$14+Projects!$D$14),Projects!$B$14*(1-SUMPRODUCT((Curves!$B$2:$AO$2)*(COLUMN(Curves!$B$2:$AO$2)-COLUMN(Curves!$B$2)+1&lt;=65-Projects!$C$14+1))),0)</f>
        <v>0</v>
      </c>
      <c r="BP15" s="269" t="n">
        <f aca="false">IF(AND(Projects!$G$14="Yes",Projects!$F$14="Yes",66&gt;=Projects!$C$14,66&lt;Projects!$C$14+Projects!$D$14),Projects!$B$14*(1-SUMPRODUCT((Curves!$B$2:$AO$2)*(COLUMN(Curves!$B$2:$AO$2)-COLUMN(Curves!$B$2)+1&lt;=66-Projects!$C$14+1))),0)</f>
        <v>0</v>
      </c>
      <c r="BQ15" s="269" t="n">
        <f aca="false">IF(AND(Projects!$G$14="Yes",Projects!$F$14="Yes",67&gt;=Projects!$C$14,67&lt;Projects!$C$14+Projects!$D$14),Projects!$B$14*(1-SUMPRODUCT((Curves!$B$2:$AO$2)*(COLUMN(Curves!$B$2:$AO$2)-COLUMN(Curves!$B$2)+1&lt;=67-Projects!$C$14+1))),0)</f>
        <v>0</v>
      </c>
      <c r="BR15" s="269" t="n">
        <f aca="false">IF(AND(Projects!$G$14="Yes",Projects!$F$14="Yes",68&gt;=Projects!$C$14,68&lt;Projects!$C$14+Projects!$D$14),Projects!$B$14*(1-SUMPRODUCT((Curves!$B$2:$AO$2)*(COLUMN(Curves!$B$2:$AO$2)-COLUMN(Curves!$B$2)+1&lt;=68-Projects!$C$14+1))),0)</f>
        <v>0</v>
      </c>
      <c r="BS15" s="269" t="n">
        <f aca="false">IF(AND(Projects!$G$14="Yes",Projects!$F$14="Yes",69&gt;=Projects!$C$14,69&lt;Projects!$C$14+Projects!$D$14),Projects!$B$14*(1-SUMPRODUCT((Curves!$B$2:$AO$2)*(COLUMN(Curves!$B$2:$AO$2)-COLUMN(Curves!$B$2)+1&lt;=69-Projects!$C$14+1))),0)</f>
        <v>0</v>
      </c>
      <c r="BT15" s="269" t="n">
        <f aca="false">IF(AND(Projects!$G$14="Yes",Projects!$F$14="Yes",70&gt;=Projects!$C$14,70&lt;Projects!$C$14+Projects!$D$14),Projects!$B$14*(1-SUMPRODUCT((Curves!$B$2:$AO$2)*(COLUMN(Curves!$B$2:$AO$2)-COLUMN(Curves!$B$2)+1&lt;=70-Projects!$C$14+1))),0)</f>
        <v>0</v>
      </c>
      <c r="BU15" s="269" t="n">
        <f aca="false">IF(AND(Projects!$G$14="Yes",Projects!$F$14="Yes",71&gt;=Projects!$C$14,71&lt;Projects!$C$14+Projects!$D$14),Projects!$B$14*(1-SUMPRODUCT((Curves!$B$2:$AO$2)*(COLUMN(Curves!$B$2:$AO$2)-COLUMN(Curves!$B$2)+1&lt;=71-Projects!$C$14+1))),0)</f>
        <v>0</v>
      </c>
      <c r="BV15" s="269" t="n">
        <f aca="false">IF(AND(Projects!$G$14="Yes",Projects!$F$14="Yes",72&gt;=Projects!$C$14,72&lt;Projects!$C$14+Projects!$D$14),Projects!$B$14*(1-SUMPRODUCT((Curves!$B$2:$AO$2)*(COLUMN(Curves!$B$2:$AO$2)-COLUMN(Curves!$B$2)+1&lt;=72-Projects!$C$14+1))),0)</f>
        <v>0</v>
      </c>
      <c r="BW15" s="269" t="n">
        <f aca="false">IF(AND(Projects!$G$14="Yes",Projects!$F$14="Yes",73&gt;=Projects!$C$14,73&lt;Projects!$C$14+Projects!$D$14),Projects!$B$14*(1-SUMPRODUCT((Curves!$B$2:$AO$2)*(COLUMN(Curves!$B$2:$AO$2)-COLUMN(Curves!$B$2)+1&lt;=73-Projects!$C$14+1))),0)</f>
        <v>0</v>
      </c>
      <c r="BX15" s="269" t="n">
        <f aca="false">IF(AND(Projects!$G$14="Yes",Projects!$F$14="Yes",74&gt;=Projects!$C$14,74&lt;Projects!$C$14+Projects!$D$14),Projects!$B$14*(1-SUMPRODUCT((Curves!$B$2:$AO$2)*(COLUMN(Curves!$B$2:$AO$2)-COLUMN(Curves!$B$2)+1&lt;=74-Projects!$C$14+1))),0)</f>
        <v>0</v>
      </c>
      <c r="BY15" s="269" t="n">
        <f aca="false">IF(AND(Projects!$G$14="Yes",Projects!$F$14="Yes",75&gt;=Projects!$C$14,75&lt;Projects!$C$14+Projects!$D$14),Projects!$B$14*(1-SUMPRODUCT((Curves!$B$2:$AO$2)*(COLUMN(Curves!$B$2:$AO$2)-COLUMN(Curves!$B$2)+1&lt;=75-Projects!$C$14+1))),0)</f>
        <v>0</v>
      </c>
      <c r="BZ15" s="269" t="n">
        <f aca="false">IF(AND(Projects!$G$14="Yes",Projects!$F$14="Yes",76&gt;=Projects!$C$14,76&lt;Projects!$C$14+Projects!$D$14),Projects!$B$14*(1-SUMPRODUCT((Curves!$B$2:$AO$2)*(COLUMN(Curves!$B$2:$AO$2)-COLUMN(Curves!$B$2)+1&lt;=76-Projects!$C$14+1))),0)</f>
        <v>0</v>
      </c>
      <c r="CA15" s="269" t="n">
        <f aca="false">IF(AND(Projects!$G$14="Yes",Projects!$F$14="Yes",77&gt;=Projects!$C$14,77&lt;Projects!$C$14+Projects!$D$14),Projects!$B$14*(1-SUMPRODUCT((Curves!$B$2:$AO$2)*(COLUMN(Curves!$B$2:$AO$2)-COLUMN(Curves!$B$2)+1&lt;=77-Projects!$C$14+1))),0)</f>
        <v>0</v>
      </c>
      <c r="CB15" s="269" t="n">
        <f aca="false">IF(AND(Projects!$G$14="Yes",Projects!$F$14="Yes",78&gt;=Projects!$C$14,78&lt;Projects!$C$14+Projects!$D$14),Projects!$B$14*(1-SUMPRODUCT((Curves!$B$2:$AO$2)*(COLUMN(Curves!$B$2:$AO$2)-COLUMN(Curves!$B$2)+1&lt;=78-Projects!$C$14+1))),0)</f>
        <v>0</v>
      </c>
      <c r="CC15" s="269" t="n">
        <f aca="false">IF(AND(Projects!$G$14="Yes",Projects!$F$14="Yes",79&gt;=Projects!$C$14,79&lt;Projects!$C$14+Projects!$D$14),Projects!$B$14*(1-SUMPRODUCT((Curves!$B$2:$AO$2)*(COLUMN(Curves!$B$2:$AO$2)-COLUMN(Curves!$B$2)+1&lt;=79-Projects!$C$14+1))),0)</f>
        <v>0</v>
      </c>
      <c r="CD15" s="269" t="n">
        <f aca="false">IF(AND(Projects!$G$14="Yes",Projects!$F$14="Yes",80&gt;=Projects!$C$14,80&lt;Projects!$C$14+Projects!$D$14),Projects!$B$14*(1-SUMPRODUCT((Curves!$B$2:$AO$2)*(COLUMN(Curves!$B$2:$AO$2)-COLUMN(Curves!$B$2)+1&lt;=80-Projects!$C$14+1))),0)</f>
        <v>0</v>
      </c>
      <c r="CE15" s="269" t="n">
        <f aca="false">IF(AND(Projects!$G$14="Yes",Projects!$F$14="Yes",81&gt;=Projects!$C$14,81&lt;Projects!$C$14+Projects!$D$14),Projects!$B$14*(1-SUMPRODUCT((Curves!$B$2:$AO$2)*(COLUMN(Curves!$B$2:$AO$2)-COLUMN(Curves!$B$2)+1&lt;=81-Projects!$C$14+1))),0)</f>
        <v>0</v>
      </c>
      <c r="CF15" s="269" t="n">
        <f aca="false">IF(AND(Projects!$G$14="Yes",Projects!$F$14="Yes",82&gt;=Projects!$C$14,82&lt;Projects!$C$14+Projects!$D$14),Projects!$B$14*(1-SUMPRODUCT((Curves!$B$2:$AO$2)*(COLUMN(Curves!$B$2:$AO$2)-COLUMN(Curves!$B$2)+1&lt;=82-Projects!$C$14+1))),0)</f>
        <v>0</v>
      </c>
      <c r="CG15" s="269" t="n">
        <f aca="false">IF(AND(Projects!$G$14="Yes",Projects!$F$14="Yes",83&gt;=Projects!$C$14,83&lt;Projects!$C$14+Projects!$D$14),Projects!$B$14*(1-SUMPRODUCT((Curves!$B$2:$AO$2)*(COLUMN(Curves!$B$2:$AO$2)-COLUMN(Curves!$B$2)+1&lt;=83-Projects!$C$14+1))),0)</f>
        <v>0</v>
      </c>
      <c r="CH15" s="269" t="n">
        <f aca="false">IF(AND(Projects!$G$14="Yes",Projects!$F$14="Yes",84&gt;=Projects!$C$14,84&lt;Projects!$C$14+Projects!$D$14),Projects!$B$14*(1-SUMPRODUCT((Curves!$B$2:$AO$2)*(COLUMN(Curves!$B$2:$AO$2)-COLUMN(Curves!$B$2)+1&lt;=84-Projects!$C$14+1))),0)</f>
        <v>0</v>
      </c>
      <c r="CI15" s="269" t="n">
        <f aca="false">IF(AND(Projects!$G$14="Yes",Projects!$F$14="Yes",85&gt;=Projects!$C$14,85&lt;Projects!$C$14+Projects!$D$14),Projects!$B$14*(1-SUMPRODUCT((Curves!$B$2:$AO$2)*(COLUMN(Curves!$B$2:$AO$2)-COLUMN(Curves!$B$2)+1&lt;=85-Projects!$C$14+1))),0)</f>
        <v>0</v>
      </c>
      <c r="CJ15" s="269" t="n">
        <f aca="false">IF(AND(Projects!$G$14="Yes",Projects!$F$14="Yes",86&gt;=Projects!$C$14,86&lt;Projects!$C$14+Projects!$D$14),Projects!$B$14*(1-SUMPRODUCT((Curves!$B$2:$AO$2)*(COLUMN(Curves!$B$2:$AO$2)-COLUMN(Curves!$B$2)+1&lt;=86-Projects!$C$14+1))),0)</f>
        <v>0</v>
      </c>
      <c r="CK15" s="269" t="n">
        <f aca="false">IF(AND(Projects!$G$14="Yes",Projects!$F$14="Yes",87&gt;=Projects!$C$14,87&lt;Projects!$C$14+Projects!$D$14),Projects!$B$14*(1-SUMPRODUCT((Curves!$B$2:$AO$2)*(COLUMN(Curves!$B$2:$AO$2)-COLUMN(Curves!$B$2)+1&lt;=87-Projects!$C$14+1))),0)</f>
        <v>0</v>
      </c>
      <c r="CL15" s="269" t="n">
        <f aca="false">IF(AND(Projects!$G$14="Yes",Projects!$F$14="Yes",88&gt;=Projects!$C$14,88&lt;Projects!$C$14+Projects!$D$14),Projects!$B$14*(1-SUMPRODUCT((Curves!$B$2:$AO$2)*(COLUMN(Curves!$B$2:$AO$2)-COLUMN(Curves!$B$2)+1&lt;=88-Projects!$C$14+1))),0)</f>
        <v>0</v>
      </c>
      <c r="CM15" s="269" t="n">
        <f aca="false">IF(AND(Projects!$G$14="Yes",Projects!$F$14="Yes",89&gt;=Projects!$C$14,89&lt;Projects!$C$14+Projects!$D$14),Projects!$B$14*(1-SUMPRODUCT((Curves!$B$2:$AO$2)*(COLUMN(Curves!$B$2:$AO$2)-COLUMN(Curves!$B$2)+1&lt;=89-Projects!$C$14+1))),0)</f>
        <v>0</v>
      </c>
      <c r="CN15" s="269" t="n">
        <f aca="false">IF(AND(Projects!$G$14="Yes",Projects!$F$14="Yes",90&gt;=Projects!$C$14,90&lt;Projects!$C$14+Projects!$D$14),Projects!$B$14*(1-SUMPRODUCT((Curves!$B$2:$AO$2)*(COLUMN(Curves!$B$2:$AO$2)-COLUMN(Curves!$B$2)+1&lt;=90-Projects!$C$14+1))),0)</f>
        <v>0</v>
      </c>
      <c r="CO15" s="269" t="n">
        <f aca="false">IF(AND(Projects!$G$14="Yes",Projects!$F$14="Yes",91&gt;=Projects!$C$14,91&lt;Projects!$C$14+Projects!$D$14),Projects!$B$14*(1-SUMPRODUCT((Curves!$B$2:$AO$2)*(COLUMN(Curves!$B$2:$AO$2)-COLUMN(Curves!$B$2)+1&lt;=91-Projects!$C$14+1))),0)</f>
        <v>0</v>
      </c>
      <c r="CP15" s="269" t="n">
        <f aca="false">IF(AND(Projects!$G$14="Yes",Projects!$F$14="Yes",92&gt;=Projects!$C$14,92&lt;Projects!$C$14+Projects!$D$14),Projects!$B$14*(1-SUMPRODUCT((Curves!$B$2:$AO$2)*(COLUMN(Curves!$B$2:$AO$2)-COLUMN(Curves!$B$2)+1&lt;=92-Projects!$C$14+1))),0)</f>
        <v>0</v>
      </c>
      <c r="CQ15" s="26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183</v>
      </c>
      <c r="C16" s="285" t="n">
        <f aca="false">SUM(C8:C15)</f>
        <v>24716840.35</v>
      </c>
      <c r="D16" s="285" t="n">
        <f aca="false">SUM(D8:D15)</f>
        <v>22881539.17</v>
      </c>
      <c r="E16" s="285" t="n">
        <f aca="false">SUM(E8:E15)</f>
        <v>20879271.91</v>
      </c>
      <c r="F16" s="285" t="n">
        <f aca="false">SUM(F8:F15)</f>
        <v>18748519.38</v>
      </c>
      <c r="G16" s="285" t="n">
        <f aca="false">SUM(G8:G15)</f>
        <v>72424528.6691092</v>
      </c>
      <c r="H16" s="285" t="n">
        <f aca="false">SUM(H8:H15)</f>
        <v>82574509.2435969</v>
      </c>
      <c r="I16" s="285" t="n">
        <f aca="false">SUM(I8:I15)</f>
        <v>79199788.5696833</v>
      </c>
      <c r="J16" s="285" t="n">
        <f aca="false">SUM(J8:J15)</f>
        <v>76252151.8859288</v>
      </c>
      <c r="K16" s="285" t="n">
        <f aca="false">SUM(K8:K15)</f>
        <v>73141594.1403182</v>
      </c>
      <c r="L16" s="285" t="n">
        <f aca="false">SUM(L8:L15)</f>
        <v>69895674.0488009</v>
      </c>
      <c r="M16" s="285" t="n">
        <f aca="false">SUM(M8:M15)</f>
        <v>66774208.0502672</v>
      </c>
      <c r="N16" s="285" t="n">
        <f aca="false">SUM(N8:N15)</f>
        <v>63395136.8555867</v>
      </c>
      <c r="O16" s="285" t="n">
        <f aca="false">SUM(O8:O15)</f>
        <v>60145035.0999223</v>
      </c>
      <c r="P16" s="285" t="n">
        <f aca="false">SUM(P8:P15)</f>
        <v>56880163.3949262</v>
      </c>
      <c r="Q16" s="285" t="n">
        <f aca="false">SUM(Q8:Q15)</f>
        <v>119386978.091578</v>
      </c>
      <c r="R16" s="285" t="n">
        <f aca="false">SUM(R8:R15)</f>
        <v>113693266.408726</v>
      </c>
      <c r="S16" s="285" t="n">
        <f aca="false">SUM(S8:S15)</f>
        <v>108630958.092699</v>
      </c>
      <c r="T16" s="285" t="n">
        <f aca="false">SUM(T8:T15)</f>
        <v>102124255.658565</v>
      </c>
      <c r="U16" s="285" t="n">
        <f aca="false">SUM(U8:U15)</f>
        <v>96607782.5829324</v>
      </c>
      <c r="V16" s="285" t="n">
        <f aca="false">SUM(V8:V15)</f>
        <v>89445772.6790426</v>
      </c>
      <c r="W16" s="285" t="n">
        <f aca="false">SUM(W8:W15)</f>
        <v>83479181.902343</v>
      </c>
      <c r="X16" s="285" t="n">
        <f aca="false">SUM(X8:X15)</f>
        <v>76352284.7104996</v>
      </c>
      <c r="Y16" s="285" t="n">
        <f aca="false">SUM(Y8:Y15)</f>
        <v>69634087.1297902</v>
      </c>
      <c r="Z16" s="285" t="n">
        <f aca="false">SUM(Z8:Z15)</f>
        <v>59661528.1912432</v>
      </c>
      <c r="AA16" s="285" t="n">
        <f aca="false">SUM(AA8:AA15)</f>
        <v>55159158.9461938</v>
      </c>
      <c r="AB16" s="285" t="n">
        <f aca="false">SUM(AB8:AB15)</f>
        <v>50447223.707067</v>
      </c>
      <c r="AC16" s="285" t="n">
        <f aca="false">SUM(AC8:AC15)</f>
        <v>45842993.8520704</v>
      </c>
      <c r="AD16" s="285" t="n">
        <f aca="false">SUM(AD8:AD15)</f>
        <v>41045129.4421855</v>
      </c>
      <c r="AE16" s="285" t="n">
        <f aca="false">SUM(AE8:AE15)</f>
        <v>35316917.3961274</v>
      </c>
      <c r="AF16" s="285" t="n">
        <f aca="false">SUM(AF8:AF15)</f>
        <v>29916794.836202</v>
      </c>
      <c r="AG16" s="285" t="n">
        <f aca="false">SUM(AG8:AG15)</f>
        <v>24741594.1091351</v>
      </c>
      <c r="AH16" s="285" t="n">
        <f aca="false">SUM(AH8:AH15)</f>
        <v>20774964.9793377</v>
      </c>
      <c r="AI16" s="285" t="n">
        <f aca="false">SUM(AI8:AI15)</f>
        <v>17213731.86939</v>
      </c>
      <c r="AJ16" s="285" t="n">
        <f aca="false">SUM(AJ8:AJ15)</f>
        <v>14195605.80416</v>
      </c>
      <c r="AK16" s="285" t="n">
        <f aca="false">SUM(AK8:AK15)</f>
        <v>11170452.74172</v>
      </c>
      <c r="AL16" s="285" t="n">
        <f aca="false">SUM(AL8:AL15)</f>
        <v>9151447.09059</v>
      </c>
      <c r="AM16" s="285" t="n">
        <f aca="false">SUM(AM8:AM15)</f>
        <v>7578336.29955</v>
      </c>
      <c r="AN16" s="285" t="n">
        <f aca="false">SUM(AN8:AN15)</f>
        <v>6126087.78441</v>
      </c>
      <c r="AO16" s="285" t="n">
        <f aca="false">SUM(AO8:AO15)</f>
        <v>4798730.2877</v>
      </c>
      <c r="AP16" s="285" t="n">
        <f aca="false">SUM(AP8:AP15)</f>
        <v>3597576.54575</v>
      </c>
      <c r="AQ16" s="285" t="n">
        <f aca="false">SUM(AQ8:AQ15)</f>
        <v>2521449.62254</v>
      </c>
      <c r="AR16" s="285" t="n">
        <f aca="false">SUM(AR8:AR15)</f>
        <v>1566909.24355</v>
      </c>
      <c r="AS16" s="285" t="n">
        <f aca="false">SUM(AS8:AS15)</f>
        <v>728659.196690001</v>
      </c>
      <c r="AT16" s="285" t="n">
        <f aca="false">SUM(AT8:AT15)</f>
        <v>-181.067079995155</v>
      </c>
      <c r="AU16" s="285" t="n">
        <f aca="false">SUM(AU8:AU15)</f>
        <v>0</v>
      </c>
      <c r="AV16" s="285" t="n">
        <f aca="false">SUM(AV8:AV15)</f>
        <v>0</v>
      </c>
      <c r="AW16" s="285" t="n">
        <f aca="false">SUM(AW8:AW15)</f>
        <v>0</v>
      </c>
      <c r="AX16" s="285" t="n">
        <f aca="false">SUM(AX8:AX15)</f>
        <v>0</v>
      </c>
      <c r="AY16" s="285" t="n">
        <f aca="false">SUM(AY8:AY15)</f>
        <v>0</v>
      </c>
      <c r="AZ16" s="285" t="n">
        <f aca="false">SUM(AZ8:AZ15)</f>
        <v>0</v>
      </c>
      <c r="BA16" s="285" t="n">
        <f aca="false">SUM(BA8:BA15)</f>
        <v>0</v>
      </c>
      <c r="BB16" s="285" t="n">
        <f aca="false">SUM(BB8:BB15)</f>
        <v>0</v>
      </c>
      <c r="BC16" s="285" t="n">
        <f aca="false">SUM(BC8:BC15)</f>
        <v>0</v>
      </c>
      <c r="BD16" s="285" t="n">
        <f aca="false">SUM(BD8:BD15)</f>
        <v>0</v>
      </c>
      <c r="BE16" s="285" t="n">
        <f aca="false">SUM(BE8:BE15)</f>
        <v>0</v>
      </c>
      <c r="BF16" s="285" t="n">
        <f aca="false">SUM(BF8:BF15)</f>
        <v>0</v>
      </c>
      <c r="BG16" s="285" t="n">
        <f aca="false">SUM(BG8:BG15)</f>
        <v>0</v>
      </c>
      <c r="BH16" s="285" t="n">
        <f aca="false">SUM(BH8:BH15)</f>
        <v>0</v>
      </c>
      <c r="BI16" s="285" t="n">
        <f aca="false">SUM(BI8:BI15)</f>
        <v>0</v>
      </c>
      <c r="BJ16" s="285" t="n">
        <f aca="false">SUM(BJ8:BJ15)</f>
        <v>0</v>
      </c>
      <c r="BK16" s="285" t="n">
        <f aca="false">SUM(BK8:BK15)</f>
        <v>0</v>
      </c>
      <c r="BL16" s="285" t="n">
        <f aca="false">SUM(BL8:BL15)</f>
        <v>0</v>
      </c>
      <c r="BM16" s="285" t="n">
        <f aca="false">SUM(BM8:BM15)</f>
        <v>0</v>
      </c>
      <c r="BN16" s="285" t="n">
        <f aca="false">SUM(BN8:BN15)</f>
        <v>0</v>
      </c>
      <c r="BO16" s="285" t="n">
        <f aca="false">SUM(BO8:BO15)</f>
        <v>0</v>
      </c>
      <c r="BP16" s="285" t="n">
        <f aca="false">SUM(BP8:BP15)</f>
        <v>0</v>
      </c>
      <c r="BQ16" s="285" t="n">
        <f aca="false">SUM(BQ8:BQ15)</f>
        <v>0</v>
      </c>
      <c r="BR16" s="285" t="n">
        <f aca="false">SUM(BR8:BR15)</f>
        <v>0</v>
      </c>
      <c r="BS16" s="285" t="n">
        <f aca="false">SUM(BS8:BS15)</f>
        <v>0</v>
      </c>
      <c r="BT16" s="285" t="n">
        <f aca="false">SUM(BT8:BT15)</f>
        <v>0</v>
      </c>
      <c r="BU16" s="285" t="n">
        <f aca="false">SUM(BU8:BU15)</f>
        <v>0</v>
      </c>
      <c r="BV16" s="285" t="n">
        <f aca="false">SUM(BV8:BV15)</f>
        <v>0</v>
      </c>
      <c r="BW16" s="285" t="n">
        <f aca="false">SUM(BW8:BW15)</f>
        <v>0</v>
      </c>
      <c r="BX16" s="285" t="n">
        <f aca="false">SUM(BX8:BX15)</f>
        <v>0</v>
      </c>
      <c r="BY16" s="285" t="n">
        <f aca="false">SUM(BY8:BY15)</f>
        <v>0</v>
      </c>
      <c r="BZ16" s="285" t="n">
        <f aca="false">SUM(BZ8:BZ15)</f>
        <v>0</v>
      </c>
      <c r="CA16" s="285" t="n">
        <f aca="false">SUM(CA8:CA15)</f>
        <v>0</v>
      </c>
      <c r="CB16" s="285" t="n">
        <f aca="false">SUM(CB8:CB15)</f>
        <v>0</v>
      </c>
      <c r="CC16" s="285" t="n">
        <f aca="false">SUM(CC8:CC15)</f>
        <v>0</v>
      </c>
      <c r="CD16" s="285" t="n">
        <f aca="false">SUM(CD8:CD15)</f>
        <v>0</v>
      </c>
      <c r="CE16" s="285" t="n">
        <f aca="false">SUM(CE8:CE15)</f>
        <v>0</v>
      </c>
      <c r="CF16" s="285" t="n">
        <f aca="false">SUM(CF8:CF15)</f>
        <v>0</v>
      </c>
      <c r="CG16" s="285" t="n">
        <f aca="false">SUM(CG8:CG15)</f>
        <v>0</v>
      </c>
      <c r="CH16" s="285" t="n">
        <f aca="false">SUM(CH8:CH15)</f>
        <v>0</v>
      </c>
      <c r="CI16" s="285" t="n">
        <f aca="false">SUM(CI8:CI15)</f>
        <v>0</v>
      </c>
      <c r="CJ16" s="285" t="n">
        <f aca="false">SUM(CJ8:CJ15)</f>
        <v>0</v>
      </c>
      <c r="CK16" s="285" t="n">
        <f aca="false">SUM(CK8:CK15)</f>
        <v>0</v>
      </c>
      <c r="CL16" s="285" t="n">
        <f aca="false">SUM(CL8:CL15)</f>
        <v>0</v>
      </c>
      <c r="CM16" s="285" t="n">
        <f aca="false">SUM(CM8:CM15)</f>
        <v>0</v>
      </c>
      <c r="CN16" s="285" t="n">
        <f aca="false">SUM(CN8:CN15)</f>
        <v>0</v>
      </c>
      <c r="CO16" s="285" t="n">
        <f aca="false">SUM(CO8:CO15)</f>
        <v>0</v>
      </c>
      <c r="CP16" s="285" t="n">
        <f aca="false">SUM(CP8:CP15)</f>
        <v>0</v>
      </c>
      <c r="CQ16" s="285" t="n">
        <f aca="false">SUM(CQ8:CQ15)</f>
        <v>0</v>
      </c>
    </row>
    <row r="18" customFormat="false" ht="15" hidden="false" customHeight="true" outlineLevel="0" collapsed="false">
      <c r="A18" s="23" t="s">
        <v>1071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87" t="s">
        <v>1072</v>
      </c>
      <c r="C19" s="269" t="n">
        <f aca="false">IF(Projects!$G$7="Yes",Projects!$B$7*Assumptions!$B$47+Assumptions!$B$53*Assumptions!$B$48,0)</f>
        <v>577947.65</v>
      </c>
      <c r="D19" s="269" t="n">
        <f aca="false">C21</f>
        <v>577947.65</v>
      </c>
      <c r="E19" s="269" t="n">
        <f aca="false">D21</f>
        <v>577947.65</v>
      </c>
      <c r="F19" s="269" t="n">
        <f aca="false">E21</f>
        <v>577947.65</v>
      </c>
      <c r="G19" s="269" t="n">
        <f aca="false">F21</f>
        <v>577947.65</v>
      </c>
      <c r="H19" s="269" t="n">
        <f aca="false">G21</f>
        <v>577947.65</v>
      </c>
      <c r="I19" s="269" t="n">
        <f aca="false">H21</f>
        <v>577947.65</v>
      </c>
      <c r="J19" s="269" t="n">
        <f aca="false">I21</f>
        <v>577947.65</v>
      </c>
      <c r="K19" s="269" t="n">
        <f aca="false">J21</f>
        <v>577947.65</v>
      </c>
      <c r="L19" s="269" t="n">
        <f aca="false">K21</f>
        <v>577947.65</v>
      </c>
      <c r="M19" s="269" t="n">
        <f aca="false">L21</f>
        <v>577947.65</v>
      </c>
      <c r="N19" s="269" t="n">
        <f aca="false">M21</f>
        <v>577947.65</v>
      </c>
      <c r="O19" s="269" t="n">
        <f aca="false">N21</f>
        <v>577947.65</v>
      </c>
      <c r="P19" s="269" t="n">
        <f aca="false">O21</f>
        <v>577947.65</v>
      </c>
      <c r="Q19" s="269" t="n">
        <f aca="false">P21</f>
        <v>577947.65</v>
      </c>
      <c r="R19" s="269" t="n">
        <f aca="false">Q21</f>
        <v>577947.65</v>
      </c>
      <c r="S19" s="269" t="n">
        <f aca="false">R21</f>
        <v>577947.65</v>
      </c>
      <c r="T19" s="269" t="n">
        <f aca="false">S21</f>
        <v>577947.65</v>
      </c>
      <c r="U19" s="269" t="n">
        <f aca="false">T21</f>
        <v>577947.65</v>
      </c>
      <c r="V19" s="269" t="n">
        <f aca="false">U21</f>
        <v>577947.65</v>
      </c>
      <c r="W19" s="269" t="n">
        <f aca="false">V21</f>
        <v>577947.65</v>
      </c>
      <c r="X19" s="269" t="n">
        <f aca="false">W21</f>
        <v>577947.65</v>
      </c>
      <c r="Y19" s="269" t="n">
        <f aca="false">X21</f>
        <v>577947.65</v>
      </c>
      <c r="Z19" s="269" t="n">
        <f aca="false">Y21</f>
        <v>577947.65</v>
      </c>
      <c r="AA19" s="269" t="n">
        <f aca="false">Z21</f>
        <v>577947.65</v>
      </c>
      <c r="AB19" s="269" t="n">
        <f aca="false">AA21</f>
        <v>577947.65</v>
      </c>
      <c r="AC19" s="269" t="n">
        <f aca="false">AB21</f>
        <v>577947.65</v>
      </c>
      <c r="AD19" s="269" t="n">
        <f aca="false">AC21</f>
        <v>577947.65</v>
      </c>
      <c r="AE19" s="269" t="n">
        <f aca="false">AD21</f>
        <v>577947.65</v>
      </c>
      <c r="AF19" s="269" t="n">
        <f aca="false">AE21</f>
        <v>577947.65</v>
      </c>
      <c r="AG19" s="269" t="n">
        <f aca="false">AF21</f>
        <v>577947.65</v>
      </c>
      <c r="AH19" s="269" t="n">
        <f aca="false">AG21</f>
        <v>577947.65</v>
      </c>
      <c r="AI19" s="269" t="n">
        <f aca="false">AH21</f>
        <v>577947.65</v>
      </c>
      <c r="AJ19" s="269" t="n">
        <f aca="false">AI21</f>
        <v>577947.65</v>
      </c>
      <c r="AK19" s="269" t="n">
        <f aca="false">AJ21</f>
        <v>577947.65</v>
      </c>
      <c r="AL19" s="269" t="n">
        <f aca="false">AK21</f>
        <v>577947.65</v>
      </c>
      <c r="AM19" s="269" t="n">
        <f aca="false">AL21</f>
        <v>577947.65</v>
      </c>
      <c r="AN19" s="269" t="n">
        <f aca="false">AM21</f>
        <v>577947.65</v>
      </c>
      <c r="AO19" s="269" t="n">
        <f aca="false">AN21</f>
        <v>577947.65</v>
      </c>
      <c r="AP19" s="269" t="n">
        <f aca="false">AO21</f>
        <v>577947.65</v>
      </c>
      <c r="AQ19" s="269" t="n">
        <f aca="false">AP21</f>
        <v>577947.65</v>
      </c>
      <c r="AR19" s="269" t="n">
        <f aca="false">AQ21</f>
        <v>577947.65</v>
      </c>
      <c r="AS19" s="269" t="n">
        <f aca="false">AR21</f>
        <v>496264.65</v>
      </c>
      <c r="AT19" s="269" t="n">
        <f aca="false">AS21</f>
        <v>496264.65</v>
      </c>
      <c r="AU19" s="269" t="n">
        <f aca="false">AT21</f>
        <v>496264.65</v>
      </c>
      <c r="AV19" s="269" t="n">
        <f aca="false">AU21</f>
        <v>414582.65</v>
      </c>
      <c r="AW19" s="269" t="n">
        <f aca="false">AV21</f>
        <v>414582.65</v>
      </c>
      <c r="AX19" s="269" t="n">
        <f aca="false">AW21</f>
        <v>414582.65</v>
      </c>
      <c r="AY19" s="269" t="n">
        <f aca="false">AX21</f>
        <v>332900.65</v>
      </c>
      <c r="AZ19" s="269" t="n">
        <f aca="false">AY21</f>
        <v>332900.65</v>
      </c>
      <c r="BA19" s="269" t="n">
        <f aca="false">AZ21</f>
        <v>332900.65</v>
      </c>
      <c r="BB19" s="269" t="n">
        <f aca="false">BA21</f>
        <v>251218.65</v>
      </c>
      <c r="BC19" s="269" t="n">
        <f aca="false">BB21</f>
        <v>251218.65</v>
      </c>
      <c r="BD19" s="269" t="n">
        <f aca="false">BC21</f>
        <v>251218.65</v>
      </c>
      <c r="BE19" s="269" t="n">
        <f aca="false">BD21</f>
        <v>192040.65</v>
      </c>
      <c r="BF19" s="269" t="n">
        <f aca="false">BE21</f>
        <v>192040.65</v>
      </c>
      <c r="BG19" s="269" t="n">
        <f aca="false">BF21</f>
        <v>192040.65</v>
      </c>
      <c r="BH19" s="269" t="n">
        <f aca="false">BG21</f>
        <v>132864.65</v>
      </c>
      <c r="BI19" s="269" t="n">
        <f aca="false">BH21</f>
        <v>132864.65</v>
      </c>
      <c r="BJ19" s="269" t="n">
        <f aca="false">BI21</f>
        <v>132864.65</v>
      </c>
      <c r="BK19" s="269" t="n">
        <f aca="false">BJ21</f>
        <v>73688.65</v>
      </c>
      <c r="BL19" s="269" t="n">
        <f aca="false">BK21</f>
        <v>73688.65</v>
      </c>
      <c r="BM19" s="269" t="n">
        <f aca="false">BL21</f>
        <v>73688.65</v>
      </c>
      <c r="BN19" s="269" t="n">
        <f aca="false">BM21</f>
        <v>14512.65</v>
      </c>
      <c r="BO19" s="269" t="n">
        <f aca="false">BN21</f>
        <v>14512.65</v>
      </c>
      <c r="BP19" s="269" t="n">
        <f aca="false">BO21</f>
        <v>14512.65</v>
      </c>
      <c r="BQ19" s="269" t="n">
        <f aca="false">BP21</f>
        <v>0</v>
      </c>
      <c r="BR19" s="269" t="n">
        <f aca="false">BQ21</f>
        <v>0</v>
      </c>
      <c r="BS19" s="269" t="n">
        <f aca="false">BR21</f>
        <v>0</v>
      </c>
      <c r="BT19" s="269" t="n">
        <f aca="false">BS21</f>
        <v>0</v>
      </c>
      <c r="BU19" s="269" t="n">
        <f aca="false">BT21</f>
        <v>0</v>
      </c>
      <c r="BV19" s="269" t="n">
        <f aca="false">BU21</f>
        <v>0</v>
      </c>
      <c r="BW19" s="269" t="n">
        <f aca="false">BV21</f>
        <v>0</v>
      </c>
      <c r="BX19" s="269" t="n">
        <f aca="false">BW21</f>
        <v>0</v>
      </c>
      <c r="BY19" s="269" t="n">
        <f aca="false">BX21</f>
        <v>0</v>
      </c>
      <c r="BZ19" s="269" t="n">
        <f aca="false">BY21</f>
        <v>0</v>
      </c>
      <c r="CA19" s="269" t="n">
        <f aca="false">BZ21</f>
        <v>0</v>
      </c>
      <c r="CB19" s="269" t="n">
        <f aca="false">CA21</f>
        <v>0</v>
      </c>
      <c r="CC19" s="269" t="n">
        <f aca="false">CB21</f>
        <v>0</v>
      </c>
      <c r="CD19" s="269" t="n">
        <f aca="false">CC21</f>
        <v>0</v>
      </c>
      <c r="CE19" s="269" t="n">
        <f aca="false">CD21</f>
        <v>0</v>
      </c>
      <c r="CF19" s="269" t="n">
        <f aca="false">CE21</f>
        <v>0</v>
      </c>
      <c r="CG19" s="269" t="n">
        <f aca="false">CF21</f>
        <v>0</v>
      </c>
      <c r="CH19" s="269" t="n">
        <f aca="false">CG21</f>
        <v>0</v>
      </c>
      <c r="CI19" s="269" t="n">
        <f aca="false">CH21</f>
        <v>0</v>
      </c>
      <c r="CJ19" s="269" t="n">
        <f aca="false">CI21</f>
        <v>0</v>
      </c>
      <c r="CK19" s="269" t="n">
        <f aca="false">CJ21</f>
        <v>0</v>
      </c>
      <c r="CL19" s="269" t="n">
        <f aca="false">CK21</f>
        <v>0</v>
      </c>
      <c r="CM19" s="269" t="n">
        <f aca="false">CL21</f>
        <v>0</v>
      </c>
      <c r="CN19" s="269" t="n">
        <f aca="false">CM21</f>
        <v>0</v>
      </c>
      <c r="CO19" s="269" t="n">
        <f aca="false">CN21</f>
        <v>0</v>
      </c>
      <c r="CP19" s="269" t="n">
        <f aca="false">CO21</f>
        <v>0</v>
      </c>
      <c r="CQ19" s="269" t="n">
        <f aca="false">CP21</f>
        <v>0</v>
      </c>
    </row>
    <row r="20" customFormat="false" ht="15" hidden="false" customHeight="true" outlineLevel="0" collapsed="false">
      <c r="A20" s="286" t="s">
        <v>1073</v>
      </c>
      <c r="C20" s="287" t="n">
        <f aca="false">MIN(C19,Model!E254)</f>
        <v>0</v>
      </c>
      <c r="D20" s="287" t="n">
        <f aca="false">MIN(D19,Model!F254)</f>
        <v>0</v>
      </c>
      <c r="E20" s="287" t="n">
        <f aca="false">MIN(E19,Model!G254)</f>
        <v>0</v>
      </c>
      <c r="F20" s="287" t="n">
        <f aca="false">MIN(F19,Model!H254)</f>
        <v>0</v>
      </c>
      <c r="G20" s="287" t="n">
        <f aca="false">IF(ISBLANK(Actuals!J109),MIN(G19,Model!I254),-Actuals!J109)</f>
        <v>-0</v>
      </c>
      <c r="H20" s="287" t="n">
        <f aca="false">MIN(H19,Model!J254)</f>
        <v>0</v>
      </c>
      <c r="I20" s="287" t="n">
        <f aca="false">MIN(I19,Model!K254)</f>
        <v>0</v>
      </c>
      <c r="J20" s="287" t="n">
        <f aca="false">MIN(J19,Model!L254)</f>
        <v>0</v>
      </c>
      <c r="K20" s="287" t="n">
        <f aca="false">MIN(K19,Model!M254)</f>
        <v>0</v>
      </c>
      <c r="L20" s="287" t="n">
        <f aca="false">MIN(L19,Model!N254)</f>
        <v>0</v>
      </c>
      <c r="M20" s="287" t="n">
        <f aca="false">MIN(M19,Model!O254)</f>
        <v>0</v>
      </c>
      <c r="N20" s="287" t="n">
        <f aca="false">MIN(N19,Model!P254)</f>
        <v>0</v>
      </c>
      <c r="O20" s="287" t="n">
        <f aca="false">MIN(O19,Model!Q254)</f>
        <v>0</v>
      </c>
      <c r="P20" s="287" t="n">
        <f aca="false">MIN(P19,Model!R254)</f>
        <v>0</v>
      </c>
      <c r="Q20" s="287" t="n">
        <f aca="false">MIN(Q19,Model!S254)</f>
        <v>0</v>
      </c>
      <c r="R20" s="287" t="n">
        <f aca="false">MIN(R19,Model!T254)</f>
        <v>0</v>
      </c>
      <c r="S20" s="287" t="n">
        <f aca="false">MIN(S19,Model!U254)</f>
        <v>0</v>
      </c>
      <c r="T20" s="287" t="n">
        <f aca="false">MIN(T19,Model!V254)</f>
        <v>0</v>
      </c>
      <c r="U20" s="287" t="n">
        <f aca="false">MIN(U19,Model!W254)</f>
        <v>0</v>
      </c>
      <c r="V20" s="287" t="n">
        <f aca="false">MIN(V19,Model!X254)</f>
        <v>0</v>
      </c>
      <c r="W20" s="287" t="n">
        <f aca="false">MIN(W19,Model!Y254)</f>
        <v>0</v>
      </c>
      <c r="X20" s="287" t="n">
        <f aca="false">MIN(X19,Model!Z254)</f>
        <v>0</v>
      </c>
      <c r="Y20" s="287" t="n">
        <f aca="false">MIN(Y19,Model!AA254)</f>
        <v>0</v>
      </c>
      <c r="Z20" s="287" t="n">
        <f aca="false">MIN(Z19,Model!AB254)</f>
        <v>0</v>
      </c>
      <c r="AA20" s="287" t="n">
        <f aca="false">MIN(AA19,Model!AC254)</f>
        <v>0</v>
      </c>
      <c r="AB20" s="287" t="n">
        <f aca="false">MIN(AB19,Model!AD254)</f>
        <v>0</v>
      </c>
      <c r="AC20" s="287" t="n">
        <f aca="false">MIN(AC19,Model!AE254)</f>
        <v>0</v>
      </c>
      <c r="AD20" s="287" t="n">
        <f aca="false">MIN(AD19,Model!AF254)</f>
        <v>0</v>
      </c>
      <c r="AE20" s="287" t="n">
        <f aca="false">MIN(AE19,Model!AG254)</f>
        <v>0</v>
      </c>
      <c r="AF20" s="287" t="n">
        <f aca="false">MIN(AF19,Model!AH254)</f>
        <v>0</v>
      </c>
      <c r="AG20" s="287" t="n">
        <f aca="false">MIN(AG19,Model!AI254)</f>
        <v>0</v>
      </c>
      <c r="AH20" s="287" t="n">
        <f aca="false">MIN(AH19,Model!AJ254)</f>
        <v>0</v>
      </c>
      <c r="AI20" s="287" t="n">
        <f aca="false">MIN(AI19,Model!AK254)</f>
        <v>0</v>
      </c>
      <c r="AJ20" s="287" t="n">
        <f aca="false">MIN(AJ19,Model!AL254)</f>
        <v>0</v>
      </c>
      <c r="AK20" s="287" t="n">
        <f aca="false">MIN(AK19,Model!AM254)</f>
        <v>0</v>
      </c>
      <c r="AL20" s="287" t="n">
        <f aca="false">MIN(AL19,Model!AN254)</f>
        <v>0</v>
      </c>
      <c r="AM20" s="287" t="n">
        <f aca="false">MIN(AM19,Model!AO254)</f>
        <v>0</v>
      </c>
      <c r="AN20" s="287" t="n">
        <f aca="false">MIN(AN19,Model!AP254)</f>
        <v>0</v>
      </c>
      <c r="AO20" s="287" t="n">
        <f aca="false">MIN(AO19,Model!AQ254)</f>
        <v>0</v>
      </c>
      <c r="AP20" s="287" t="n">
        <f aca="false">MIN(AP19,Model!AR254)</f>
        <v>0</v>
      </c>
      <c r="AQ20" s="287" t="n">
        <f aca="false">MIN(AQ19,Model!AS254)</f>
        <v>0</v>
      </c>
      <c r="AR20" s="287" t="n">
        <f aca="false">MIN(AR19,Model!AT254)</f>
        <v>81683</v>
      </c>
      <c r="AS20" s="287" t="n">
        <f aca="false">MIN(AS19,Model!AU254)</f>
        <v>0</v>
      </c>
      <c r="AT20" s="287" t="n">
        <f aca="false">MIN(AT19,Model!AV254)</f>
        <v>0</v>
      </c>
      <c r="AU20" s="287" t="n">
        <f aca="false">MIN(AU19,Model!AW254)</f>
        <v>81682</v>
      </c>
      <c r="AV20" s="287" t="n">
        <f aca="false">MIN(AV19,Model!AX254)</f>
        <v>0</v>
      </c>
      <c r="AW20" s="287" t="n">
        <f aca="false">MIN(AW19,Model!AY254)</f>
        <v>0</v>
      </c>
      <c r="AX20" s="287" t="n">
        <f aca="false">MIN(AX19,Model!AZ254)</f>
        <v>81682</v>
      </c>
      <c r="AY20" s="287" t="n">
        <f aca="false">MIN(AY19,Model!BA254)</f>
        <v>0</v>
      </c>
      <c r="AZ20" s="287" t="n">
        <f aca="false">MIN(AZ19,Model!BB254)</f>
        <v>0</v>
      </c>
      <c r="BA20" s="287" t="n">
        <f aca="false">MIN(BA19,Model!BC254)</f>
        <v>81682</v>
      </c>
      <c r="BB20" s="287" t="n">
        <f aca="false">MIN(BB19,Model!BD254)</f>
        <v>0</v>
      </c>
      <c r="BC20" s="287" t="n">
        <f aca="false">MIN(BC19,Model!BE254)</f>
        <v>0</v>
      </c>
      <c r="BD20" s="287" t="n">
        <f aca="false">MIN(BD19,Model!BF254)</f>
        <v>59178</v>
      </c>
      <c r="BE20" s="287" t="n">
        <f aca="false">MIN(BE19,Model!BG254)</f>
        <v>0</v>
      </c>
      <c r="BF20" s="287" t="n">
        <f aca="false">MIN(BF19,Model!BH254)</f>
        <v>0</v>
      </c>
      <c r="BG20" s="287" t="n">
        <f aca="false">MIN(BG19,Model!BI254)</f>
        <v>59176</v>
      </c>
      <c r="BH20" s="287" t="n">
        <f aca="false">MIN(BH19,Model!BJ254)</f>
        <v>0</v>
      </c>
      <c r="BI20" s="287" t="n">
        <f aca="false">MIN(BI19,Model!BK254)</f>
        <v>0</v>
      </c>
      <c r="BJ20" s="287" t="n">
        <f aca="false">MIN(BJ19,Model!BL254)</f>
        <v>59176</v>
      </c>
      <c r="BK20" s="287" t="n">
        <f aca="false">MIN(BK19,Model!BM254)</f>
        <v>0</v>
      </c>
      <c r="BL20" s="287" t="n">
        <f aca="false">MIN(BL19,Model!BN254)</f>
        <v>0</v>
      </c>
      <c r="BM20" s="287" t="n">
        <f aca="false">MIN(BM19,Model!BO254)</f>
        <v>59176</v>
      </c>
      <c r="BN20" s="287" t="n">
        <f aca="false">MIN(BN19,Model!BP254)</f>
        <v>0</v>
      </c>
      <c r="BO20" s="287" t="n">
        <f aca="false">MIN(BO19,Model!BQ254)</f>
        <v>0</v>
      </c>
      <c r="BP20" s="287" t="n">
        <f aca="false">MIN(BP19,Model!BR254)</f>
        <v>14512.65</v>
      </c>
      <c r="BQ20" s="287" t="n">
        <f aca="false">MIN(BQ19,Model!BS254)</f>
        <v>0</v>
      </c>
      <c r="BR20" s="287" t="n">
        <f aca="false">MIN(BR19,Model!BT254)</f>
        <v>0</v>
      </c>
      <c r="BS20" s="287" t="n">
        <f aca="false">MIN(BS19,Model!BU254)</f>
        <v>0</v>
      </c>
      <c r="BT20" s="287" t="n">
        <f aca="false">MIN(BT19,Model!BV254)</f>
        <v>0</v>
      </c>
      <c r="BU20" s="287" t="n">
        <f aca="false">MIN(BU19,Model!BW254)</f>
        <v>0</v>
      </c>
      <c r="BV20" s="287" t="n">
        <f aca="false">MIN(BV19,Model!BX254)</f>
        <v>0</v>
      </c>
      <c r="BW20" s="287" t="n">
        <f aca="false">MIN(BW19,Model!BY254)</f>
        <v>0</v>
      </c>
      <c r="BX20" s="287" t="n">
        <f aca="false">MIN(BX19,Model!BZ254)</f>
        <v>0</v>
      </c>
      <c r="BY20" s="287" t="n">
        <f aca="false">MIN(BY19,Model!CA254)</f>
        <v>0</v>
      </c>
      <c r="BZ20" s="287" t="n">
        <f aca="false">MIN(BZ19,Model!CB254)</f>
        <v>0</v>
      </c>
      <c r="CA20" s="287" t="n">
        <f aca="false">MIN(CA19,Model!CC254)</f>
        <v>0</v>
      </c>
      <c r="CB20" s="287" t="n">
        <f aca="false">MIN(CB19,Model!CD254)</f>
        <v>0</v>
      </c>
      <c r="CC20" s="287" t="n">
        <f aca="false">MIN(CC19,Model!CE254)</f>
        <v>0</v>
      </c>
      <c r="CD20" s="287" t="n">
        <f aca="false">MIN(CD19,Model!CF254)</f>
        <v>0</v>
      </c>
      <c r="CE20" s="287" t="n">
        <f aca="false">MIN(CE19,Model!CG254)</f>
        <v>0</v>
      </c>
      <c r="CF20" s="287" t="n">
        <f aca="false">MIN(CF19,Model!CH254)</f>
        <v>0</v>
      </c>
      <c r="CG20" s="287" t="n">
        <f aca="false">MIN(CG19,Model!CI254)</f>
        <v>0</v>
      </c>
      <c r="CH20" s="287" t="n">
        <f aca="false">MIN(CH19,Model!CJ254)</f>
        <v>0</v>
      </c>
      <c r="CI20" s="287" t="n">
        <f aca="false">MIN(CI19,Model!CK254)</f>
        <v>0</v>
      </c>
      <c r="CJ20" s="287" t="n">
        <f aca="false">MIN(CJ19,Model!CL254)</f>
        <v>0</v>
      </c>
      <c r="CK20" s="287" t="n">
        <f aca="false">MIN(CK19,Model!CM254)</f>
        <v>0</v>
      </c>
      <c r="CL20" s="287" t="n">
        <f aca="false">MIN(CL19,Model!CN254)</f>
        <v>0</v>
      </c>
      <c r="CM20" s="287" t="n">
        <f aca="false">MIN(CM19,Model!CO254)</f>
        <v>0</v>
      </c>
      <c r="CN20" s="287" t="n">
        <f aca="false">MIN(CN19,Model!CP254)</f>
        <v>0</v>
      </c>
      <c r="CO20" s="287" t="n">
        <f aca="false">MIN(CO19,Model!CQ254)</f>
        <v>0</v>
      </c>
      <c r="CP20" s="287" t="n">
        <f aca="false">MIN(CP19,Model!CR254)</f>
        <v>0</v>
      </c>
      <c r="CQ20" s="287" t="n">
        <f aca="false">MIN(CQ19,Model!CS254)</f>
        <v>0</v>
      </c>
    </row>
    <row r="21" customFormat="false" ht="15" hidden="false" customHeight="true" outlineLevel="0" collapsed="false">
      <c r="A21" s="94" t="s">
        <v>1074</v>
      </c>
      <c r="C21" s="285" t="n">
        <f aca="false">MAX(0,C19-C20)</f>
        <v>577947.65</v>
      </c>
      <c r="D21" s="285" t="n">
        <f aca="false">MAX(0,D19-D20)</f>
        <v>577947.65</v>
      </c>
      <c r="E21" s="285" t="n">
        <f aca="false">MAX(0,E19-E20)</f>
        <v>577947.65</v>
      </c>
      <c r="F21" s="285" t="n">
        <f aca="false">MAX(0,F19-F20)</f>
        <v>577947.65</v>
      </c>
      <c r="G21" s="285" t="n">
        <f aca="false">MAX(0,G19-G20)</f>
        <v>577947.65</v>
      </c>
      <c r="H21" s="285" t="n">
        <f aca="false">MAX(0,H19-H20)</f>
        <v>577947.65</v>
      </c>
      <c r="I21" s="285" t="n">
        <f aca="false">MAX(0,I19-I20)</f>
        <v>577947.65</v>
      </c>
      <c r="J21" s="285" t="n">
        <f aca="false">MAX(0,J19-J20)</f>
        <v>577947.65</v>
      </c>
      <c r="K21" s="285" t="n">
        <f aca="false">MAX(0,K19-K20)</f>
        <v>577947.65</v>
      </c>
      <c r="L21" s="285" t="n">
        <f aca="false">MAX(0,L19-L20)</f>
        <v>577947.65</v>
      </c>
      <c r="M21" s="285" t="n">
        <f aca="false">MAX(0,M19-M20)</f>
        <v>577947.65</v>
      </c>
      <c r="N21" s="285" t="n">
        <f aca="false">MAX(0,N19-N20)</f>
        <v>577947.65</v>
      </c>
      <c r="O21" s="285" t="n">
        <f aca="false">MAX(0,O19-O20)</f>
        <v>577947.65</v>
      </c>
      <c r="P21" s="285" t="n">
        <f aca="false">MAX(0,P19-P20)</f>
        <v>577947.65</v>
      </c>
      <c r="Q21" s="285" t="n">
        <f aca="false">MAX(0,Q19-Q20)</f>
        <v>577947.65</v>
      </c>
      <c r="R21" s="285" t="n">
        <f aca="false">MAX(0,R19-R20)</f>
        <v>577947.65</v>
      </c>
      <c r="S21" s="285" t="n">
        <f aca="false">MAX(0,S19-S20)</f>
        <v>577947.65</v>
      </c>
      <c r="T21" s="285" t="n">
        <f aca="false">MAX(0,T19-T20)</f>
        <v>577947.65</v>
      </c>
      <c r="U21" s="285" t="n">
        <f aca="false">MAX(0,U19-U20)</f>
        <v>577947.65</v>
      </c>
      <c r="V21" s="285" t="n">
        <f aca="false">MAX(0,V19-V20)</f>
        <v>577947.65</v>
      </c>
      <c r="W21" s="285" t="n">
        <f aca="false">MAX(0,W19-W20)</f>
        <v>577947.65</v>
      </c>
      <c r="X21" s="285" t="n">
        <f aca="false">MAX(0,X19-X20)</f>
        <v>577947.65</v>
      </c>
      <c r="Y21" s="285" t="n">
        <f aca="false">MAX(0,Y19-Y20)</f>
        <v>577947.65</v>
      </c>
      <c r="Z21" s="285" t="n">
        <f aca="false">MAX(0,Z19-Z20)</f>
        <v>577947.65</v>
      </c>
      <c r="AA21" s="285" t="n">
        <f aca="false">MAX(0,AA19-AA20)</f>
        <v>577947.65</v>
      </c>
      <c r="AB21" s="285" t="n">
        <f aca="false">MAX(0,AB19-AB20)</f>
        <v>577947.65</v>
      </c>
      <c r="AC21" s="285" t="n">
        <f aca="false">MAX(0,AC19-AC20)</f>
        <v>577947.65</v>
      </c>
      <c r="AD21" s="285" t="n">
        <f aca="false">MAX(0,AD19-AD20)</f>
        <v>577947.65</v>
      </c>
      <c r="AE21" s="285" t="n">
        <f aca="false">MAX(0,AE19-AE20)</f>
        <v>577947.65</v>
      </c>
      <c r="AF21" s="285" t="n">
        <f aca="false">MAX(0,AF19-AF20)</f>
        <v>577947.65</v>
      </c>
      <c r="AG21" s="285" t="n">
        <f aca="false">MAX(0,AG19-AG20)</f>
        <v>577947.65</v>
      </c>
      <c r="AH21" s="285" t="n">
        <f aca="false">MAX(0,AH19-AH20)</f>
        <v>577947.65</v>
      </c>
      <c r="AI21" s="285" t="n">
        <f aca="false">MAX(0,AI19-AI20)</f>
        <v>577947.65</v>
      </c>
      <c r="AJ21" s="285" t="n">
        <f aca="false">MAX(0,AJ19-AJ20)</f>
        <v>577947.65</v>
      </c>
      <c r="AK21" s="285" t="n">
        <f aca="false">MAX(0,AK19-AK20)</f>
        <v>577947.65</v>
      </c>
      <c r="AL21" s="285" t="n">
        <f aca="false">MAX(0,AL19-AL20)</f>
        <v>577947.65</v>
      </c>
      <c r="AM21" s="285" t="n">
        <f aca="false">MAX(0,AM19-AM20)</f>
        <v>577947.65</v>
      </c>
      <c r="AN21" s="285" t="n">
        <f aca="false">MAX(0,AN19-AN20)</f>
        <v>577947.65</v>
      </c>
      <c r="AO21" s="285" t="n">
        <f aca="false">MAX(0,AO19-AO20)</f>
        <v>577947.65</v>
      </c>
      <c r="AP21" s="285" t="n">
        <f aca="false">MAX(0,AP19-AP20)</f>
        <v>577947.65</v>
      </c>
      <c r="AQ21" s="285" t="n">
        <f aca="false">MAX(0,AQ19-AQ20)</f>
        <v>577947.65</v>
      </c>
      <c r="AR21" s="285" t="n">
        <f aca="false">MAX(0,AR19-AR20)</f>
        <v>496264.65</v>
      </c>
      <c r="AS21" s="285" t="n">
        <f aca="false">MAX(0,AS19-AS20)</f>
        <v>496264.65</v>
      </c>
      <c r="AT21" s="285" t="n">
        <f aca="false">MAX(0,AT19-AT20)</f>
        <v>496264.65</v>
      </c>
      <c r="AU21" s="285" t="n">
        <f aca="false">MAX(0,AU19-AU20)</f>
        <v>414582.65</v>
      </c>
      <c r="AV21" s="285" t="n">
        <f aca="false">MAX(0,AV19-AV20)</f>
        <v>414582.65</v>
      </c>
      <c r="AW21" s="285" t="n">
        <f aca="false">MAX(0,AW19-AW20)</f>
        <v>414582.65</v>
      </c>
      <c r="AX21" s="285" t="n">
        <f aca="false">MAX(0,AX19-AX20)</f>
        <v>332900.65</v>
      </c>
      <c r="AY21" s="285" t="n">
        <f aca="false">MAX(0,AY19-AY20)</f>
        <v>332900.65</v>
      </c>
      <c r="AZ21" s="285" t="n">
        <f aca="false">MAX(0,AZ19-AZ20)</f>
        <v>332900.65</v>
      </c>
      <c r="BA21" s="285" t="n">
        <f aca="false">MAX(0,BA19-BA20)</f>
        <v>251218.65</v>
      </c>
      <c r="BB21" s="285" t="n">
        <f aca="false">MAX(0,BB19-BB20)</f>
        <v>251218.65</v>
      </c>
      <c r="BC21" s="285" t="n">
        <f aca="false">MAX(0,BC19-BC20)</f>
        <v>251218.65</v>
      </c>
      <c r="BD21" s="285" t="n">
        <f aca="false">MAX(0,BD19-BD20)</f>
        <v>192040.65</v>
      </c>
      <c r="BE21" s="285" t="n">
        <f aca="false">MAX(0,BE19-BE20)</f>
        <v>192040.65</v>
      </c>
      <c r="BF21" s="285" t="n">
        <f aca="false">MAX(0,BF19-BF20)</f>
        <v>192040.65</v>
      </c>
      <c r="BG21" s="285" t="n">
        <f aca="false">MAX(0,BG19-BG20)</f>
        <v>132864.65</v>
      </c>
      <c r="BH21" s="285" t="n">
        <f aca="false">MAX(0,BH19-BH20)</f>
        <v>132864.65</v>
      </c>
      <c r="BI21" s="285" t="n">
        <f aca="false">MAX(0,BI19-BI20)</f>
        <v>132864.65</v>
      </c>
      <c r="BJ21" s="285" t="n">
        <f aca="false">MAX(0,BJ19-BJ20)</f>
        <v>73688.65</v>
      </c>
      <c r="BK21" s="285" t="n">
        <f aca="false">MAX(0,BK19-BK20)</f>
        <v>73688.65</v>
      </c>
      <c r="BL21" s="285" t="n">
        <f aca="false">MAX(0,BL19-BL20)</f>
        <v>73688.65</v>
      </c>
      <c r="BM21" s="285" t="n">
        <f aca="false">MAX(0,BM19-BM20)</f>
        <v>14512.65</v>
      </c>
      <c r="BN21" s="285" t="n">
        <f aca="false">MAX(0,BN19-BN20)</f>
        <v>14512.65</v>
      </c>
      <c r="BO21" s="285" t="n">
        <f aca="false">MAX(0,BO19-BO20)</f>
        <v>14512.65</v>
      </c>
      <c r="BP21" s="285" t="n">
        <f aca="false">MAX(0,BP19-BP20)</f>
        <v>0</v>
      </c>
      <c r="BQ21" s="285" t="n">
        <f aca="false">MAX(0,BQ19-BQ20)</f>
        <v>0</v>
      </c>
      <c r="BR21" s="285" t="n">
        <f aca="false">MAX(0,BR19-BR20)</f>
        <v>0</v>
      </c>
      <c r="BS21" s="285" t="n">
        <f aca="false">MAX(0,BS19-BS20)</f>
        <v>0</v>
      </c>
      <c r="BT21" s="285" t="n">
        <f aca="false">MAX(0,BT19-BT20)</f>
        <v>0</v>
      </c>
      <c r="BU21" s="285" t="n">
        <f aca="false">MAX(0,BU19-BU20)</f>
        <v>0</v>
      </c>
      <c r="BV21" s="285" t="n">
        <f aca="false">MAX(0,BV19-BV20)</f>
        <v>0</v>
      </c>
      <c r="BW21" s="285" t="n">
        <f aca="false">MAX(0,BW19-BW20)</f>
        <v>0</v>
      </c>
      <c r="BX21" s="285" t="n">
        <f aca="false">MAX(0,BX19-BX20)</f>
        <v>0</v>
      </c>
      <c r="BY21" s="285" t="n">
        <f aca="false">MAX(0,BY19-BY20)</f>
        <v>0</v>
      </c>
      <c r="BZ21" s="285" t="n">
        <f aca="false">MAX(0,BZ19-BZ20)</f>
        <v>0</v>
      </c>
      <c r="CA21" s="285" t="n">
        <f aca="false">MAX(0,CA19-CA20)</f>
        <v>0</v>
      </c>
      <c r="CB21" s="285" t="n">
        <f aca="false">MAX(0,CB19-CB20)</f>
        <v>0</v>
      </c>
      <c r="CC21" s="285" t="n">
        <f aca="false">MAX(0,CC19-CC20)</f>
        <v>0</v>
      </c>
      <c r="CD21" s="285" t="n">
        <f aca="false">MAX(0,CD19-CD20)</f>
        <v>0</v>
      </c>
      <c r="CE21" s="285" t="n">
        <f aca="false">MAX(0,CE19-CE20)</f>
        <v>0</v>
      </c>
      <c r="CF21" s="285" t="n">
        <f aca="false">MAX(0,CF19-CF20)</f>
        <v>0</v>
      </c>
      <c r="CG21" s="285" t="n">
        <f aca="false">MAX(0,CG19-CG20)</f>
        <v>0</v>
      </c>
      <c r="CH21" s="285" t="n">
        <f aca="false">MAX(0,CH19-CH20)</f>
        <v>0</v>
      </c>
      <c r="CI21" s="285" t="n">
        <f aca="false">MAX(0,CI19-CI20)</f>
        <v>0</v>
      </c>
      <c r="CJ21" s="285" t="n">
        <f aca="false">MAX(0,CJ19-CJ20)</f>
        <v>0</v>
      </c>
      <c r="CK21" s="285" t="n">
        <f aca="false">MAX(0,CK19-CK20)</f>
        <v>0</v>
      </c>
      <c r="CL21" s="285" t="n">
        <f aca="false">MAX(0,CL19-CL20)</f>
        <v>0</v>
      </c>
      <c r="CM21" s="285" t="n">
        <f aca="false">MAX(0,CM19-CM20)</f>
        <v>0</v>
      </c>
      <c r="CN21" s="285" t="n">
        <f aca="false">MAX(0,CN19-CN20)</f>
        <v>0</v>
      </c>
      <c r="CO21" s="285" t="n">
        <f aca="false">MAX(0,CO19-CO20)</f>
        <v>0</v>
      </c>
      <c r="CP21" s="285" t="n">
        <f aca="false">MAX(0,CP19-CP20)</f>
        <v>0</v>
      </c>
      <c r="CQ21" s="285" t="n">
        <f aca="false">MAX(0,CQ19-CQ20)</f>
        <v>0</v>
      </c>
    </row>
    <row r="22" customFormat="false" ht="15" hidden="false" customHeight="true" outlineLevel="0" collapsed="false">
      <c r="A22" s="187" t="s">
        <v>1075</v>
      </c>
      <c r="C22" s="269" t="n">
        <f aca="false">IF(Projects!$G$13="Yes",Projects!$B$13*Assumptions!$B$47+Assumptions!$B$54*Assumptions!$B$48,0)</f>
        <v>602667.7</v>
      </c>
      <c r="D22" s="269" t="n">
        <f aca="false">C24</f>
        <v>602667.7</v>
      </c>
      <c r="E22" s="269" t="n">
        <f aca="false">D24</f>
        <v>602667.7</v>
      </c>
      <c r="F22" s="269" t="n">
        <f aca="false">E24</f>
        <v>602667.7</v>
      </c>
      <c r="G22" s="269" t="n">
        <f aca="false">F24</f>
        <v>602667.7</v>
      </c>
      <c r="H22" s="269" t="n">
        <f aca="false">G24</f>
        <v>602667.7</v>
      </c>
      <c r="I22" s="269" t="n">
        <f aca="false">H24</f>
        <v>602667.7</v>
      </c>
      <c r="J22" s="269" t="n">
        <f aca="false">I24</f>
        <v>602667.7</v>
      </c>
      <c r="K22" s="269" t="n">
        <f aca="false">J24</f>
        <v>602667.7</v>
      </c>
      <c r="L22" s="269" t="n">
        <f aca="false">K24</f>
        <v>602667.7</v>
      </c>
      <c r="M22" s="269" t="n">
        <f aca="false">L24</f>
        <v>602667.7</v>
      </c>
      <c r="N22" s="269" t="n">
        <f aca="false">M24</f>
        <v>602667.7</v>
      </c>
      <c r="O22" s="269" t="n">
        <f aca="false">N24</f>
        <v>602667.7</v>
      </c>
      <c r="P22" s="269" t="n">
        <f aca="false">O24</f>
        <v>602667.7</v>
      </c>
      <c r="Q22" s="269" t="n">
        <f aca="false">P24</f>
        <v>602667.7</v>
      </c>
      <c r="R22" s="269" t="n">
        <f aca="false">Q24</f>
        <v>602667.7</v>
      </c>
      <c r="S22" s="269" t="n">
        <f aca="false">R24</f>
        <v>602667.7</v>
      </c>
      <c r="T22" s="269" t="n">
        <f aca="false">S24</f>
        <v>602667.7</v>
      </c>
      <c r="U22" s="269" t="n">
        <f aca="false">T24</f>
        <v>602667.7</v>
      </c>
      <c r="V22" s="269" t="n">
        <f aca="false">U24</f>
        <v>602667.7</v>
      </c>
      <c r="W22" s="269" t="n">
        <f aca="false">V24</f>
        <v>602667.7</v>
      </c>
      <c r="X22" s="269" t="n">
        <f aca="false">W24</f>
        <v>602667.7</v>
      </c>
      <c r="Y22" s="269" t="n">
        <f aca="false">X24</f>
        <v>602667.7</v>
      </c>
      <c r="Z22" s="269" t="n">
        <f aca="false">Y24</f>
        <v>602667.7</v>
      </c>
      <c r="AA22" s="269" t="n">
        <f aca="false">Z24</f>
        <v>602667.7</v>
      </c>
      <c r="AB22" s="269" t="n">
        <f aca="false">AA24</f>
        <v>602667.7</v>
      </c>
      <c r="AC22" s="269" t="n">
        <f aca="false">AB24</f>
        <v>602667.7</v>
      </c>
      <c r="AD22" s="269" t="n">
        <f aca="false">AC24</f>
        <v>602667.7</v>
      </c>
      <c r="AE22" s="269" t="n">
        <f aca="false">AD24</f>
        <v>602667.7</v>
      </c>
      <c r="AF22" s="269" t="n">
        <f aca="false">AE24</f>
        <v>602667.7</v>
      </c>
      <c r="AG22" s="269" t="n">
        <f aca="false">AF24</f>
        <v>602667.7</v>
      </c>
      <c r="AH22" s="269" t="n">
        <f aca="false">AG24</f>
        <v>602667.7</v>
      </c>
      <c r="AI22" s="269" t="n">
        <f aca="false">AH24</f>
        <v>602667.7</v>
      </c>
      <c r="AJ22" s="269" t="n">
        <f aca="false">AI24</f>
        <v>602667.7</v>
      </c>
      <c r="AK22" s="269" t="n">
        <f aca="false">AJ24</f>
        <v>602667.7</v>
      </c>
      <c r="AL22" s="269" t="n">
        <f aca="false">AK24</f>
        <v>602667.7</v>
      </c>
      <c r="AM22" s="269" t="n">
        <f aca="false">AL24</f>
        <v>602667.7</v>
      </c>
      <c r="AN22" s="269" t="n">
        <f aca="false">AM24</f>
        <v>602667.7</v>
      </c>
      <c r="AO22" s="269" t="n">
        <f aca="false">AN24</f>
        <v>602667.7</v>
      </c>
      <c r="AP22" s="269" t="n">
        <f aca="false">AO24</f>
        <v>602667.7</v>
      </c>
      <c r="AQ22" s="269" t="n">
        <f aca="false">AP24</f>
        <v>602667.7</v>
      </c>
      <c r="AR22" s="269" t="n">
        <f aca="false">AQ24</f>
        <v>602667.7</v>
      </c>
      <c r="AS22" s="269" t="n">
        <f aca="false">AR24</f>
        <v>602667.7</v>
      </c>
      <c r="AT22" s="269" t="n">
        <f aca="false">AS24</f>
        <v>602667.7</v>
      </c>
      <c r="AU22" s="269" t="n">
        <f aca="false">AT24</f>
        <v>602667.7</v>
      </c>
      <c r="AV22" s="269" t="n">
        <f aca="false">AU24</f>
        <v>602667.7</v>
      </c>
      <c r="AW22" s="269" t="n">
        <f aca="false">AV24</f>
        <v>602667.7</v>
      </c>
      <c r="AX22" s="269" t="n">
        <f aca="false">AW24</f>
        <v>602667.7</v>
      </c>
      <c r="AY22" s="269" t="n">
        <f aca="false">AX24</f>
        <v>602667.7</v>
      </c>
      <c r="AZ22" s="269" t="n">
        <f aca="false">AY24</f>
        <v>602667.7</v>
      </c>
      <c r="BA22" s="269" t="n">
        <f aca="false">AZ24</f>
        <v>602667.7</v>
      </c>
      <c r="BB22" s="269" t="n">
        <f aca="false">BA24</f>
        <v>0</v>
      </c>
      <c r="BC22" s="269" t="n">
        <f aca="false">BB24</f>
        <v>0</v>
      </c>
      <c r="BD22" s="269" t="n">
        <f aca="false">BC24</f>
        <v>0</v>
      </c>
      <c r="BE22" s="269" t="n">
        <f aca="false">BD24</f>
        <v>0</v>
      </c>
      <c r="BF22" s="269" t="n">
        <f aca="false">BE24</f>
        <v>0</v>
      </c>
      <c r="BG22" s="269" t="n">
        <f aca="false">BF24</f>
        <v>0</v>
      </c>
      <c r="BH22" s="269" t="n">
        <f aca="false">BG24</f>
        <v>0</v>
      </c>
      <c r="BI22" s="269" t="n">
        <f aca="false">BH24</f>
        <v>0</v>
      </c>
      <c r="BJ22" s="269" t="n">
        <f aca="false">BI24</f>
        <v>0</v>
      </c>
      <c r="BK22" s="269" t="n">
        <f aca="false">BJ24</f>
        <v>0</v>
      </c>
      <c r="BL22" s="269" t="n">
        <f aca="false">BK24</f>
        <v>0</v>
      </c>
      <c r="BM22" s="269" t="n">
        <f aca="false">BL24</f>
        <v>0</v>
      </c>
      <c r="BN22" s="269" t="n">
        <f aca="false">BM24</f>
        <v>0</v>
      </c>
      <c r="BO22" s="269" t="n">
        <f aca="false">BN24</f>
        <v>0</v>
      </c>
      <c r="BP22" s="269" t="n">
        <f aca="false">BO24</f>
        <v>0</v>
      </c>
      <c r="BQ22" s="269" t="n">
        <f aca="false">BP24</f>
        <v>0</v>
      </c>
      <c r="BR22" s="269" t="n">
        <f aca="false">BQ24</f>
        <v>0</v>
      </c>
      <c r="BS22" s="269" t="n">
        <f aca="false">BR24</f>
        <v>0</v>
      </c>
      <c r="BT22" s="269" t="n">
        <f aca="false">BS24</f>
        <v>0</v>
      </c>
      <c r="BU22" s="269" t="n">
        <f aca="false">BT24</f>
        <v>0</v>
      </c>
      <c r="BV22" s="269" t="n">
        <f aca="false">BU24</f>
        <v>0</v>
      </c>
      <c r="BW22" s="269" t="n">
        <f aca="false">BV24</f>
        <v>0</v>
      </c>
      <c r="BX22" s="269" t="n">
        <f aca="false">BW24</f>
        <v>0</v>
      </c>
      <c r="BY22" s="269" t="n">
        <f aca="false">BX24</f>
        <v>0</v>
      </c>
      <c r="BZ22" s="269" t="n">
        <f aca="false">BY24</f>
        <v>0</v>
      </c>
      <c r="CA22" s="269" t="n">
        <f aca="false">BZ24</f>
        <v>0</v>
      </c>
      <c r="CB22" s="269" t="n">
        <f aca="false">CA24</f>
        <v>0</v>
      </c>
      <c r="CC22" s="269" t="n">
        <f aca="false">CB24</f>
        <v>0</v>
      </c>
      <c r="CD22" s="269" t="n">
        <f aca="false">CC24</f>
        <v>0</v>
      </c>
      <c r="CE22" s="269" t="n">
        <f aca="false">CD24</f>
        <v>0</v>
      </c>
      <c r="CF22" s="269" t="n">
        <f aca="false">CE24</f>
        <v>0</v>
      </c>
      <c r="CG22" s="269" t="n">
        <f aca="false">CF24</f>
        <v>0</v>
      </c>
      <c r="CH22" s="269" t="n">
        <f aca="false">CG24</f>
        <v>0</v>
      </c>
      <c r="CI22" s="269" t="n">
        <f aca="false">CH24</f>
        <v>0</v>
      </c>
      <c r="CJ22" s="269" t="n">
        <f aca="false">CI24</f>
        <v>0</v>
      </c>
      <c r="CK22" s="269" t="n">
        <f aca="false">CJ24</f>
        <v>0</v>
      </c>
      <c r="CL22" s="269" t="n">
        <f aca="false">CK24</f>
        <v>0</v>
      </c>
      <c r="CM22" s="269" t="n">
        <f aca="false">CL24</f>
        <v>0</v>
      </c>
      <c r="CN22" s="269" t="n">
        <f aca="false">CM24</f>
        <v>0</v>
      </c>
      <c r="CO22" s="269" t="n">
        <f aca="false">CN24</f>
        <v>0</v>
      </c>
      <c r="CP22" s="269" t="n">
        <f aca="false">CO24</f>
        <v>0</v>
      </c>
      <c r="CQ22" s="269" t="n">
        <f aca="false">CP24</f>
        <v>0</v>
      </c>
    </row>
    <row r="23" customFormat="false" ht="15" hidden="false" customHeight="true" outlineLevel="0" collapsed="false">
      <c r="A23" s="286" t="s">
        <v>1076</v>
      </c>
      <c r="C23" s="287" t="n">
        <f aca="false">MIN(C22,Model!E255)</f>
        <v>0</v>
      </c>
      <c r="D23" s="287" t="n">
        <f aca="false">MIN(D22,Model!F255)</f>
        <v>0</v>
      </c>
      <c r="E23" s="287" t="n">
        <f aca="false">MIN(E22,Model!G255)</f>
        <v>0</v>
      </c>
      <c r="F23" s="287" t="n">
        <f aca="false">MIN(F22,Model!H255)</f>
        <v>0</v>
      </c>
      <c r="G23" s="287" t="n">
        <f aca="false">MIN(G22,Model!I255)</f>
        <v>0</v>
      </c>
      <c r="H23" s="287" t="n">
        <f aca="false">MIN(H22,Model!J255)</f>
        <v>0</v>
      </c>
      <c r="I23" s="287" t="n">
        <f aca="false">MIN(I22,Model!K255)</f>
        <v>0</v>
      </c>
      <c r="J23" s="287" t="n">
        <f aca="false">MIN(J22,Model!L255)</f>
        <v>0</v>
      </c>
      <c r="K23" s="287" t="n">
        <f aca="false">MIN(K22,Model!M255)</f>
        <v>0</v>
      </c>
      <c r="L23" s="287" t="n">
        <f aca="false">MIN(L22,Model!N255)</f>
        <v>0</v>
      </c>
      <c r="M23" s="287" t="n">
        <f aca="false">MIN(M22,Model!O255)</f>
        <v>0</v>
      </c>
      <c r="N23" s="287" t="n">
        <f aca="false">MIN(N22,Model!P255)</f>
        <v>0</v>
      </c>
      <c r="O23" s="287" t="n">
        <f aca="false">MIN(O22,Model!Q255)</f>
        <v>0</v>
      </c>
      <c r="P23" s="287" t="n">
        <f aca="false">MIN(P22,Model!R255)</f>
        <v>0</v>
      </c>
      <c r="Q23" s="287" t="n">
        <f aca="false">MIN(Q22,Model!S255)</f>
        <v>0</v>
      </c>
      <c r="R23" s="287" t="n">
        <f aca="false">MIN(R22,Model!T255)</f>
        <v>0</v>
      </c>
      <c r="S23" s="287" t="n">
        <f aca="false">MIN(S22,Model!U255)</f>
        <v>0</v>
      </c>
      <c r="T23" s="287" t="n">
        <f aca="false">MIN(T22,Model!V255)</f>
        <v>0</v>
      </c>
      <c r="U23" s="287" t="n">
        <f aca="false">MIN(U22,Model!W255)</f>
        <v>0</v>
      </c>
      <c r="V23" s="287" t="n">
        <f aca="false">MIN(V22,Model!X255)</f>
        <v>0</v>
      </c>
      <c r="W23" s="287" t="n">
        <f aca="false">MIN(W22,Model!Y255)</f>
        <v>0</v>
      </c>
      <c r="X23" s="287" t="n">
        <f aca="false">MIN(X22,Model!Z255)</f>
        <v>0</v>
      </c>
      <c r="Y23" s="287" t="n">
        <f aca="false">MIN(Y22,Model!AA255)</f>
        <v>0</v>
      </c>
      <c r="Z23" s="287" t="n">
        <f aca="false">MIN(Z22,Model!AB255)</f>
        <v>0</v>
      </c>
      <c r="AA23" s="287" t="n">
        <f aca="false">MIN(AA22,Model!AC255)</f>
        <v>0</v>
      </c>
      <c r="AB23" s="287" t="n">
        <f aca="false">MIN(AB22,Model!AD255)</f>
        <v>0</v>
      </c>
      <c r="AC23" s="287" t="n">
        <f aca="false">MIN(AC22,Model!AE255)</f>
        <v>0</v>
      </c>
      <c r="AD23" s="287" t="n">
        <f aca="false">MIN(AD22,Model!AF255)</f>
        <v>0</v>
      </c>
      <c r="AE23" s="287" t="n">
        <f aca="false">MIN(AE22,Model!AG255)</f>
        <v>0</v>
      </c>
      <c r="AF23" s="287" t="n">
        <f aca="false">MIN(AF22,Model!AH255)</f>
        <v>0</v>
      </c>
      <c r="AG23" s="287" t="n">
        <f aca="false">MIN(AG22,Model!AI255)</f>
        <v>0</v>
      </c>
      <c r="AH23" s="287" t="n">
        <f aca="false">MIN(AH22,Model!AJ255)</f>
        <v>0</v>
      </c>
      <c r="AI23" s="287" t="n">
        <f aca="false">MIN(AI22,Model!AK255)</f>
        <v>0</v>
      </c>
      <c r="AJ23" s="287" t="n">
        <f aca="false">MIN(AJ22,Model!AL255)</f>
        <v>0</v>
      </c>
      <c r="AK23" s="287" t="n">
        <f aca="false">MIN(AK22,Model!AM255)</f>
        <v>0</v>
      </c>
      <c r="AL23" s="287" t="n">
        <f aca="false">MIN(AL22,Model!AN255)</f>
        <v>0</v>
      </c>
      <c r="AM23" s="287" t="n">
        <f aca="false">MIN(AM22,Model!AO255)</f>
        <v>0</v>
      </c>
      <c r="AN23" s="287" t="n">
        <f aca="false">MIN(AN22,Model!AP255)</f>
        <v>0</v>
      </c>
      <c r="AO23" s="287" t="n">
        <f aca="false">MIN(AO22,Model!AQ255)</f>
        <v>0</v>
      </c>
      <c r="AP23" s="287" t="n">
        <f aca="false">MIN(AP22,Model!AR255)</f>
        <v>0</v>
      </c>
      <c r="AQ23" s="287" t="n">
        <f aca="false">MIN(AQ22,Model!AS255)</f>
        <v>0</v>
      </c>
      <c r="AR23" s="287" t="n">
        <f aca="false">MIN(AR22,Model!AT255)</f>
        <v>0</v>
      </c>
      <c r="AS23" s="287" t="n">
        <f aca="false">MIN(AS22,Model!AU255)</f>
        <v>0</v>
      </c>
      <c r="AT23" s="287" t="n">
        <f aca="false">MIN(AT22,Model!AV255)</f>
        <v>0</v>
      </c>
      <c r="AU23" s="287" t="n">
        <f aca="false">MIN(AU22,Model!AW255)</f>
        <v>0</v>
      </c>
      <c r="AV23" s="287" t="n">
        <f aca="false">MIN(AV22,Model!AX255)</f>
        <v>0</v>
      </c>
      <c r="AW23" s="287" t="n">
        <f aca="false">MIN(AW22,Model!AY255)</f>
        <v>0</v>
      </c>
      <c r="AX23" s="287" t="n">
        <f aca="false">MIN(AX22,Model!AZ255)</f>
        <v>0</v>
      </c>
      <c r="AY23" s="287" t="n">
        <f aca="false">MIN(AY22,Model!BA255)</f>
        <v>0</v>
      </c>
      <c r="AZ23" s="287" t="n">
        <f aca="false">MIN(AZ22,Model!BB255)</f>
        <v>0</v>
      </c>
      <c r="BA23" s="287" t="n">
        <f aca="false">MIN(BA22,Model!BC255)</f>
        <v>602667.7</v>
      </c>
      <c r="BB23" s="287" t="n">
        <f aca="false">MIN(BB22,Model!BD255)</f>
        <v>0</v>
      </c>
      <c r="BC23" s="287" t="n">
        <f aca="false">MIN(BC22,Model!BE255)</f>
        <v>0</v>
      </c>
      <c r="BD23" s="287" t="n">
        <f aca="false">MIN(BD22,Model!BF255)</f>
        <v>0</v>
      </c>
      <c r="BE23" s="287" t="n">
        <f aca="false">MIN(BE22,Model!BG255)</f>
        <v>0</v>
      </c>
      <c r="BF23" s="287" t="n">
        <f aca="false">MIN(BF22,Model!BH255)</f>
        <v>0</v>
      </c>
      <c r="BG23" s="287" t="n">
        <f aca="false">MIN(BG22,Model!BI255)</f>
        <v>0</v>
      </c>
      <c r="BH23" s="287" t="n">
        <f aca="false">MIN(BH22,Model!BJ255)</f>
        <v>0</v>
      </c>
      <c r="BI23" s="287" t="n">
        <f aca="false">MIN(BI22,Model!BK255)</f>
        <v>0</v>
      </c>
      <c r="BJ23" s="287" t="n">
        <f aca="false">MIN(BJ22,Model!BL255)</f>
        <v>0</v>
      </c>
      <c r="BK23" s="287" t="n">
        <f aca="false">MIN(BK22,Model!BM255)</f>
        <v>0</v>
      </c>
      <c r="BL23" s="287" t="n">
        <f aca="false">MIN(BL22,Model!BN255)</f>
        <v>0</v>
      </c>
      <c r="BM23" s="287" t="n">
        <f aca="false">MIN(BM22,Model!BO255)</f>
        <v>0</v>
      </c>
      <c r="BN23" s="287" t="n">
        <f aca="false">MIN(BN22,Model!BP255)</f>
        <v>0</v>
      </c>
      <c r="BO23" s="287" t="n">
        <f aca="false">MIN(BO22,Model!BQ255)</f>
        <v>0</v>
      </c>
      <c r="BP23" s="287" t="n">
        <f aca="false">MIN(BP22,Model!BR255)</f>
        <v>0</v>
      </c>
      <c r="BQ23" s="287" t="n">
        <f aca="false">MIN(BQ22,Model!BS255)</f>
        <v>0</v>
      </c>
      <c r="BR23" s="287" t="n">
        <f aca="false">MIN(BR22,Model!BT255)</f>
        <v>0</v>
      </c>
      <c r="BS23" s="287" t="n">
        <f aca="false">MIN(BS22,Model!BU255)</f>
        <v>0</v>
      </c>
      <c r="BT23" s="287" t="n">
        <f aca="false">MIN(BT22,Model!BV255)</f>
        <v>0</v>
      </c>
      <c r="BU23" s="287" t="n">
        <f aca="false">MIN(BU22,Model!BW255)</f>
        <v>0</v>
      </c>
      <c r="BV23" s="287" t="n">
        <f aca="false">MIN(BV22,Model!BX255)</f>
        <v>0</v>
      </c>
      <c r="BW23" s="287" t="n">
        <f aca="false">MIN(BW22,Model!BY255)</f>
        <v>0</v>
      </c>
      <c r="BX23" s="287" t="n">
        <f aca="false">MIN(BX22,Model!BZ255)</f>
        <v>0</v>
      </c>
      <c r="BY23" s="287" t="n">
        <f aca="false">MIN(BY22,Model!CA255)</f>
        <v>0</v>
      </c>
      <c r="BZ23" s="287" t="n">
        <f aca="false">MIN(BZ22,Model!CB255)</f>
        <v>0</v>
      </c>
      <c r="CA23" s="287" t="n">
        <f aca="false">MIN(CA22,Model!CC255)</f>
        <v>0</v>
      </c>
      <c r="CB23" s="287" t="n">
        <f aca="false">MIN(CB22,Model!CD255)</f>
        <v>0</v>
      </c>
      <c r="CC23" s="287" t="n">
        <f aca="false">MIN(CC22,Model!CE255)</f>
        <v>0</v>
      </c>
      <c r="CD23" s="287" t="n">
        <f aca="false">MIN(CD22,Model!CF255)</f>
        <v>0</v>
      </c>
      <c r="CE23" s="287" t="n">
        <f aca="false">MIN(CE22,Model!CG255)</f>
        <v>0</v>
      </c>
      <c r="CF23" s="287" t="n">
        <f aca="false">MIN(CF22,Model!CH255)</f>
        <v>0</v>
      </c>
      <c r="CG23" s="287" t="n">
        <f aca="false">MIN(CG22,Model!CI255)</f>
        <v>0</v>
      </c>
      <c r="CH23" s="287" t="n">
        <f aca="false">MIN(CH22,Model!CJ255)</f>
        <v>0</v>
      </c>
      <c r="CI23" s="287" t="n">
        <f aca="false">MIN(CI22,Model!CK255)</f>
        <v>0</v>
      </c>
      <c r="CJ23" s="287" t="n">
        <f aca="false">MIN(CJ22,Model!CL255)</f>
        <v>0</v>
      </c>
      <c r="CK23" s="287" t="n">
        <f aca="false">MIN(CK22,Model!CM255)</f>
        <v>0</v>
      </c>
      <c r="CL23" s="287" t="n">
        <f aca="false">MIN(CL22,Model!CN255)</f>
        <v>0</v>
      </c>
      <c r="CM23" s="287" t="n">
        <f aca="false">MIN(CM22,Model!CO255)</f>
        <v>0</v>
      </c>
      <c r="CN23" s="287" t="n">
        <f aca="false">MIN(CN22,Model!CP255)</f>
        <v>0</v>
      </c>
      <c r="CO23" s="287" t="n">
        <f aca="false">MIN(CO22,Model!CQ255)</f>
        <v>0</v>
      </c>
      <c r="CP23" s="287" t="n">
        <f aca="false">MIN(CP22,Model!CR255)</f>
        <v>0</v>
      </c>
      <c r="CQ23" s="287" t="n">
        <f aca="false">MIN(CQ22,Model!CS255)</f>
        <v>0</v>
      </c>
    </row>
    <row r="24" customFormat="false" ht="15" hidden="false" customHeight="true" outlineLevel="0" collapsed="false">
      <c r="A24" s="94" t="s">
        <v>1077</v>
      </c>
      <c r="C24" s="285" t="n">
        <f aca="false">MAX(0,C22-C23)</f>
        <v>602667.7</v>
      </c>
      <c r="D24" s="285" t="n">
        <f aca="false">MAX(0,D22-D23)</f>
        <v>602667.7</v>
      </c>
      <c r="E24" s="285" t="n">
        <f aca="false">MAX(0,E22-E23)</f>
        <v>602667.7</v>
      </c>
      <c r="F24" s="285" t="n">
        <f aca="false">MAX(0,F22-F23)</f>
        <v>602667.7</v>
      </c>
      <c r="G24" s="285" t="n">
        <f aca="false">MAX(0,G22-G23)</f>
        <v>602667.7</v>
      </c>
      <c r="H24" s="285" t="n">
        <f aca="false">MAX(0,H22-H23)</f>
        <v>602667.7</v>
      </c>
      <c r="I24" s="285" t="n">
        <f aca="false">MAX(0,I22-I23)</f>
        <v>602667.7</v>
      </c>
      <c r="J24" s="285" t="n">
        <f aca="false">MAX(0,J22-J23)</f>
        <v>602667.7</v>
      </c>
      <c r="K24" s="285" t="n">
        <f aca="false">MAX(0,K22-K23)</f>
        <v>602667.7</v>
      </c>
      <c r="L24" s="285" t="n">
        <f aca="false">MAX(0,L22-L23)</f>
        <v>602667.7</v>
      </c>
      <c r="M24" s="285" t="n">
        <f aca="false">MAX(0,M22-M23)</f>
        <v>602667.7</v>
      </c>
      <c r="N24" s="285" t="n">
        <f aca="false">MAX(0,N22-N23)</f>
        <v>602667.7</v>
      </c>
      <c r="O24" s="285" t="n">
        <f aca="false">MAX(0,O22-O23)</f>
        <v>602667.7</v>
      </c>
      <c r="P24" s="285" t="n">
        <f aca="false">MAX(0,P22-P23)</f>
        <v>602667.7</v>
      </c>
      <c r="Q24" s="285" t="n">
        <f aca="false">MAX(0,Q22-Q23)</f>
        <v>602667.7</v>
      </c>
      <c r="R24" s="285" t="n">
        <f aca="false">MAX(0,R22-R23)</f>
        <v>602667.7</v>
      </c>
      <c r="S24" s="285" t="n">
        <f aca="false">MAX(0,S22-S23)</f>
        <v>602667.7</v>
      </c>
      <c r="T24" s="285" t="n">
        <f aca="false">MAX(0,T22-T23)</f>
        <v>602667.7</v>
      </c>
      <c r="U24" s="285" t="n">
        <f aca="false">MAX(0,U22-U23)</f>
        <v>602667.7</v>
      </c>
      <c r="V24" s="285" t="n">
        <f aca="false">MAX(0,V22-V23)</f>
        <v>602667.7</v>
      </c>
      <c r="W24" s="285" t="n">
        <f aca="false">MAX(0,W22-W23)</f>
        <v>602667.7</v>
      </c>
      <c r="X24" s="285" t="n">
        <f aca="false">MAX(0,X22-X23)</f>
        <v>602667.7</v>
      </c>
      <c r="Y24" s="285" t="n">
        <f aca="false">MAX(0,Y22-Y23)</f>
        <v>602667.7</v>
      </c>
      <c r="Z24" s="285" t="n">
        <f aca="false">MAX(0,Z22-Z23)</f>
        <v>602667.7</v>
      </c>
      <c r="AA24" s="285" t="n">
        <f aca="false">MAX(0,AA22-AA23)</f>
        <v>602667.7</v>
      </c>
      <c r="AB24" s="285" t="n">
        <f aca="false">MAX(0,AB22-AB23)</f>
        <v>602667.7</v>
      </c>
      <c r="AC24" s="285" t="n">
        <f aca="false">MAX(0,AC22-AC23)</f>
        <v>602667.7</v>
      </c>
      <c r="AD24" s="285" t="n">
        <f aca="false">MAX(0,AD22-AD23)</f>
        <v>602667.7</v>
      </c>
      <c r="AE24" s="285" t="n">
        <f aca="false">MAX(0,AE22-AE23)</f>
        <v>602667.7</v>
      </c>
      <c r="AF24" s="285" t="n">
        <f aca="false">MAX(0,AF22-AF23)</f>
        <v>602667.7</v>
      </c>
      <c r="AG24" s="285" t="n">
        <f aca="false">MAX(0,AG22-AG23)</f>
        <v>602667.7</v>
      </c>
      <c r="AH24" s="285" t="n">
        <f aca="false">MAX(0,AH22-AH23)</f>
        <v>602667.7</v>
      </c>
      <c r="AI24" s="285" t="n">
        <f aca="false">MAX(0,AI22-AI23)</f>
        <v>602667.7</v>
      </c>
      <c r="AJ24" s="285" t="n">
        <f aca="false">MAX(0,AJ22-AJ23)</f>
        <v>602667.7</v>
      </c>
      <c r="AK24" s="285" t="n">
        <f aca="false">MAX(0,AK22-AK23)</f>
        <v>602667.7</v>
      </c>
      <c r="AL24" s="285" t="n">
        <f aca="false">MAX(0,AL22-AL23)</f>
        <v>602667.7</v>
      </c>
      <c r="AM24" s="285" t="n">
        <f aca="false">MAX(0,AM22-AM23)</f>
        <v>602667.7</v>
      </c>
      <c r="AN24" s="285" t="n">
        <f aca="false">MAX(0,AN22-AN23)</f>
        <v>602667.7</v>
      </c>
      <c r="AO24" s="285" t="n">
        <f aca="false">MAX(0,AO22-AO23)</f>
        <v>602667.7</v>
      </c>
      <c r="AP24" s="285" t="n">
        <f aca="false">MAX(0,AP22-AP23)</f>
        <v>602667.7</v>
      </c>
      <c r="AQ24" s="285" t="n">
        <f aca="false">MAX(0,AQ22-AQ23)</f>
        <v>602667.7</v>
      </c>
      <c r="AR24" s="285" t="n">
        <f aca="false">MAX(0,AR22-AR23)</f>
        <v>602667.7</v>
      </c>
      <c r="AS24" s="285" t="n">
        <f aca="false">MAX(0,AS22-AS23)</f>
        <v>602667.7</v>
      </c>
      <c r="AT24" s="285" t="n">
        <f aca="false">MAX(0,AT22-AT23)</f>
        <v>602667.7</v>
      </c>
      <c r="AU24" s="285" t="n">
        <f aca="false">MAX(0,AU22-AU23)</f>
        <v>602667.7</v>
      </c>
      <c r="AV24" s="285" t="n">
        <f aca="false">MAX(0,AV22-AV23)</f>
        <v>602667.7</v>
      </c>
      <c r="AW24" s="285" t="n">
        <f aca="false">MAX(0,AW22-AW23)</f>
        <v>602667.7</v>
      </c>
      <c r="AX24" s="285" t="n">
        <f aca="false">MAX(0,AX22-AX23)</f>
        <v>602667.7</v>
      </c>
      <c r="AY24" s="285" t="n">
        <f aca="false">MAX(0,AY22-AY23)</f>
        <v>602667.7</v>
      </c>
      <c r="AZ24" s="285" t="n">
        <f aca="false">MAX(0,AZ22-AZ23)</f>
        <v>602667.7</v>
      </c>
      <c r="BA24" s="285" t="n">
        <f aca="false">MAX(0,BA22-BA23)</f>
        <v>0</v>
      </c>
      <c r="BB24" s="285" t="n">
        <f aca="false">MAX(0,BB22-BB23)</f>
        <v>0</v>
      </c>
      <c r="BC24" s="285" t="n">
        <f aca="false">MAX(0,BC22-BC23)</f>
        <v>0</v>
      </c>
      <c r="BD24" s="285" t="n">
        <f aca="false">MAX(0,BD22-BD23)</f>
        <v>0</v>
      </c>
      <c r="BE24" s="285" t="n">
        <f aca="false">MAX(0,BE22-BE23)</f>
        <v>0</v>
      </c>
      <c r="BF24" s="285" t="n">
        <f aca="false">MAX(0,BF22-BF23)</f>
        <v>0</v>
      </c>
      <c r="BG24" s="285" t="n">
        <f aca="false">MAX(0,BG22-BG23)</f>
        <v>0</v>
      </c>
      <c r="BH24" s="285" t="n">
        <f aca="false">MAX(0,BH22-BH23)</f>
        <v>0</v>
      </c>
      <c r="BI24" s="285" t="n">
        <f aca="false">MAX(0,BI22-BI23)</f>
        <v>0</v>
      </c>
      <c r="BJ24" s="285" t="n">
        <f aca="false">MAX(0,BJ22-BJ23)</f>
        <v>0</v>
      </c>
      <c r="BK24" s="285" t="n">
        <f aca="false">MAX(0,BK22-BK23)</f>
        <v>0</v>
      </c>
      <c r="BL24" s="285" t="n">
        <f aca="false">MAX(0,BL22-BL23)</f>
        <v>0</v>
      </c>
      <c r="BM24" s="285" t="n">
        <f aca="false">MAX(0,BM22-BM23)</f>
        <v>0</v>
      </c>
      <c r="BN24" s="285" t="n">
        <f aca="false">MAX(0,BN22-BN23)</f>
        <v>0</v>
      </c>
      <c r="BO24" s="285" t="n">
        <f aca="false">MAX(0,BO22-BO23)</f>
        <v>0</v>
      </c>
      <c r="BP24" s="285" t="n">
        <f aca="false">MAX(0,BP22-BP23)</f>
        <v>0</v>
      </c>
      <c r="BQ24" s="285" t="n">
        <f aca="false">MAX(0,BQ22-BQ23)</f>
        <v>0</v>
      </c>
      <c r="BR24" s="285" t="n">
        <f aca="false">MAX(0,BR22-BR23)</f>
        <v>0</v>
      </c>
      <c r="BS24" s="285" t="n">
        <f aca="false">MAX(0,BS22-BS23)</f>
        <v>0</v>
      </c>
      <c r="BT24" s="285" t="n">
        <f aca="false">MAX(0,BT22-BT23)</f>
        <v>0</v>
      </c>
      <c r="BU24" s="285" t="n">
        <f aca="false">MAX(0,BU22-BU23)</f>
        <v>0</v>
      </c>
      <c r="BV24" s="285" t="n">
        <f aca="false">MAX(0,BV22-BV23)</f>
        <v>0</v>
      </c>
      <c r="BW24" s="285" t="n">
        <f aca="false">MAX(0,BW22-BW23)</f>
        <v>0</v>
      </c>
      <c r="BX24" s="285" t="n">
        <f aca="false">MAX(0,BX22-BX23)</f>
        <v>0</v>
      </c>
      <c r="BY24" s="285" t="n">
        <f aca="false">MAX(0,BY22-BY23)</f>
        <v>0</v>
      </c>
      <c r="BZ24" s="285" t="n">
        <f aca="false">MAX(0,BZ22-BZ23)</f>
        <v>0</v>
      </c>
      <c r="CA24" s="285" t="n">
        <f aca="false">MAX(0,CA22-CA23)</f>
        <v>0</v>
      </c>
      <c r="CB24" s="285" t="n">
        <f aca="false">MAX(0,CB22-CB23)</f>
        <v>0</v>
      </c>
      <c r="CC24" s="285" t="n">
        <f aca="false">MAX(0,CC22-CC23)</f>
        <v>0</v>
      </c>
      <c r="CD24" s="285" t="n">
        <f aca="false">MAX(0,CD22-CD23)</f>
        <v>0</v>
      </c>
      <c r="CE24" s="285" t="n">
        <f aca="false">MAX(0,CE22-CE23)</f>
        <v>0</v>
      </c>
      <c r="CF24" s="285" t="n">
        <f aca="false">MAX(0,CF22-CF23)</f>
        <v>0</v>
      </c>
      <c r="CG24" s="285" t="n">
        <f aca="false">MAX(0,CG22-CG23)</f>
        <v>0</v>
      </c>
      <c r="CH24" s="285" t="n">
        <f aca="false">MAX(0,CH22-CH23)</f>
        <v>0</v>
      </c>
      <c r="CI24" s="285" t="n">
        <f aca="false">MAX(0,CI22-CI23)</f>
        <v>0</v>
      </c>
      <c r="CJ24" s="285" t="n">
        <f aca="false">MAX(0,CJ22-CJ23)</f>
        <v>0</v>
      </c>
      <c r="CK24" s="285" t="n">
        <f aca="false">MAX(0,CK22-CK23)</f>
        <v>0</v>
      </c>
      <c r="CL24" s="285" t="n">
        <f aca="false">MAX(0,CL22-CL23)</f>
        <v>0</v>
      </c>
      <c r="CM24" s="285" t="n">
        <f aca="false">MAX(0,CM22-CM23)</f>
        <v>0</v>
      </c>
      <c r="CN24" s="285" t="n">
        <f aca="false">MAX(0,CN22-CN23)</f>
        <v>0</v>
      </c>
      <c r="CO24" s="285" t="n">
        <f aca="false">MAX(0,CO22-CO23)</f>
        <v>0</v>
      </c>
      <c r="CP24" s="285" t="n">
        <f aca="false">MAX(0,CP22-CP23)</f>
        <v>0</v>
      </c>
      <c r="CQ24" s="285" t="n">
        <f aca="false">MAX(0,CQ22-CQ23)</f>
        <v>0</v>
      </c>
    </row>
    <row r="25" customFormat="false" ht="15" hidden="false" customHeight="true" outlineLevel="0" collapsed="false">
      <c r="A25" s="1" t="s">
        <v>1078</v>
      </c>
      <c r="B25" s="1" t="s">
        <v>1079</v>
      </c>
      <c r="C25" s="288"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1080</v>
      </c>
      <c r="C26" s="288"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1081</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72" t="s">
        <v>1082</v>
      </c>
      <c r="B30" s="272"/>
      <c r="C30" s="272"/>
      <c r="D30" s="272"/>
      <c r="E30" s="272"/>
      <c r="F30" s="272"/>
      <c r="G30" s="272"/>
      <c r="H30" s="272"/>
      <c r="I30" s="272"/>
    </row>
    <row r="31" customFormat="false" ht="15" hidden="false" customHeight="true" outlineLevel="0" collapsed="false">
      <c r="A31" s="289" t="s">
        <v>1083</v>
      </c>
    </row>
    <row r="32" customFormat="false" ht="15" hidden="false" customHeight="true" outlineLevel="0" collapsed="false">
      <c r="A32" s="290" t="s">
        <v>12</v>
      </c>
      <c r="B32" s="291" t="n">
        <f aca="false">LOOKUP(2,1/(Model!E254:CG254&gt;0),Model!E254:CG254)</f>
        <v>76499</v>
      </c>
    </row>
    <row r="33" customFormat="false" ht="15" hidden="false" customHeight="true" outlineLevel="0" collapsed="false">
      <c r="A33" s="290" t="s">
        <v>19</v>
      </c>
      <c r="B33" s="291" t="n">
        <f aca="false">IFERROR(LOOKUP(2,1/(Model!E256:CG256&gt;0),Model!E256:CG256),0)</f>
        <v>0</v>
      </c>
    </row>
    <row r="34" customFormat="false" ht="15" hidden="false" customHeight="true" outlineLevel="0" collapsed="false">
      <c r="A34" s="290" t="s">
        <v>18</v>
      </c>
      <c r="B34" s="291" t="n">
        <f aca="false">LOOKUP(2,1/(Model!E255:CG255&gt;0),Model!E255:CG255)</f>
        <v>81362</v>
      </c>
    </row>
    <row r="36" customFormat="false" ht="15" hidden="false" customHeight="true" outlineLevel="0" collapsed="false">
      <c r="A36" s="289" t="s">
        <v>1084</v>
      </c>
    </row>
    <row r="37" customFormat="false" ht="15" hidden="false" customHeight="true" outlineLevel="0" collapsed="false">
      <c r="A37" s="290" t="s">
        <v>12</v>
      </c>
      <c r="B37" s="90" t="n">
        <f aca="false">SUMPRODUCT((Model!E254:CG254&gt;0)*1)</f>
        <v>15</v>
      </c>
    </row>
    <row r="38" customFormat="false" ht="15" hidden="false" customHeight="true" outlineLevel="0" collapsed="false">
      <c r="A38" s="290" t="s">
        <v>19</v>
      </c>
      <c r="B38" s="90" t="n">
        <f aca="false">SUMPRODUCT((Model!E256:CG256&gt;0)*1)</f>
        <v>0</v>
      </c>
    </row>
    <row r="39" customFormat="false" ht="15" hidden="false" customHeight="true" outlineLevel="0" collapsed="false">
      <c r="A39" s="290" t="s">
        <v>18</v>
      </c>
      <c r="B39" s="90" t="n">
        <f aca="false">SUMPRODUCT((Model!E255:CG255&gt;0)*1)</f>
        <v>11</v>
      </c>
    </row>
    <row r="41" customFormat="false" ht="15" hidden="false" customHeight="true" outlineLevel="0" collapsed="false">
      <c r="A41" s="289" t="s">
        <v>1085</v>
      </c>
    </row>
    <row r="42" customFormat="false" ht="15" hidden="false" customHeight="true" outlineLevel="0" collapsed="false">
      <c r="A42" s="290" t="s">
        <v>12</v>
      </c>
      <c r="B42" s="90" t="n">
        <f aca="false">40-B37</f>
        <v>25</v>
      </c>
    </row>
    <row r="43" customFormat="false" ht="15" hidden="false" customHeight="true" outlineLevel="0" collapsed="false">
      <c r="A43" s="290" t="s">
        <v>19</v>
      </c>
      <c r="B43" s="90" t="n">
        <f aca="false">40-B38</f>
        <v>40</v>
      </c>
    </row>
    <row r="44" customFormat="false" ht="15" hidden="false" customHeight="true" outlineLevel="0" collapsed="false">
      <c r="A44" s="290" t="s">
        <v>18</v>
      </c>
      <c r="B44" s="90" t="n">
        <f aca="false">40-B39</f>
        <v>29</v>
      </c>
    </row>
    <row r="46" customFormat="false" ht="15" hidden="false" customHeight="true" outlineLevel="0" collapsed="false">
      <c r="A46" s="289" t="s">
        <v>1086</v>
      </c>
    </row>
    <row r="47" customFormat="false" ht="15" hidden="false" customHeight="true" outlineLevel="0" collapsed="false">
      <c r="A47" s="290" t="s">
        <v>12</v>
      </c>
      <c r="B47" s="291" t="n">
        <f aca="false">B32*B42</f>
        <v>1912475</v>
      </c>
    </row>
    <row r="48" customFormat="false" ht="15" hidden="false" customHeight="true" outlineLevel="0" collapsed="false">
      <c r="A48" s="290" t="s">
        <v>19</v>
      </c>
      <c r="B48" s="291" t="n">
        <f aca="false">IFERROR(B33*B43,0)</f>
        <v>0</v>
      </c>
    </row>
    <row r="49" customFormat="false" ht="15" hidden="false" customHeight="true" outlineLevel="0" collapsed="false">
      <c r="A49" s="290" t="s">
        <v>18</v>
      </c>
      <c r="B49" s="291" t="n">
        <f aca="false">B34*B44</f>
        <v>2359498</v>
      </c>
    </row>
    <row r="51" customFormat="false" ht="15" hidden="false" customHeight="true" outlineLevel="0" collapsed="false">
      <c r="A51" s="272" t="s">
        <v>1087</v>
      </c>
      <c r="B51" s="272"/>
      <c r="C51" s="272"/>
      <c r="D51" s="272"/>
      <c r="E51" s="272"/>
      <c r="F51" s="272"/>
      <c r="G51" s="272"/>
    </row>
    <row r="52" customFormat="false" ht="15" hidden="false" customHeight="true" outlineLevel="0" collapsed="false">
      <c r="A52" s="289" t="s">
        <v>1088</v>
      </c>
      <c r="B52" s="289" t="s">
        <v>1089</v>
      </c>
      <c r="C52" s="289" t="s">
        <v>1090</v>
      </c>
      <c r="D52" s="289" t="s">
        <v>1091</v>
      </c>
      <c r="E52" s="289" t="s">
        <v>1092</v>
      </c>
      <c r="F52" s="289" t="s">
        <v>1093</v>
      </c>
      <c r="G52" s="289" t="s">
        <v>1094</v>
      </c>
    </row>
    <row r="53" customFormat="false" ht="15" hidden="false" customHeight="true" outlineLevel="0" collapsed="false">
      <c r="A53" s="90" t="n">
        <v>1</v>
      </c>
      <c r="B53" s="291" t="n">
        <f aca="false">IFERROR($B$33,0)</f>
        <v>0</v>
      </c>
      <c r="C53" s="291" t="n">
        <f aca="false">CH27</f>
        <v>0</v>
      </c>
      <c r="D53" s="291" t="n">
        <f aca="false">IFERROR(MIN(C53,B53),0)</f>
        <v>0</v>
      </c>
      <c r="E53" s="291" t="n">
        <f aca="false">Model!CJ340</f>
        <v>0</v>
      </c>
      <c r="F53" s="291" t="n">
        <f aca="false">E53*Assumptions!$B$59</f>
        <v>0</v>
      </c>
      <c r="G53" s="291" t="n">
        <f aca="false">IFERROR(MIN(E53+F53,MAX(0,B53-D53)),0)</f>
        <v>0</v>
      </c>
    </row>
    <row r="54" customFormat="false" ht="15" hidden="false" customHeight="true" outlineLevel="0" collapsed="false">
      <c r="A54" s="90" t="n">
        <v>2</v>
      </c>
      <c r="B54" s="291" t="n">
        <f aca="false">IFERROR($B$33,0)</f>
        <v>0</v>
      </c>
      <c r="C54" s="291" t="n">
        <f aca="false">IFERROR(MAX(0,C53-D53),0)</f>
        <v>0</v>
      </c>
      <c r="D54" s="291" t="n">
        <f aca="false">IFERROR(MIN(C54,B54),0)</f>
        <v>0</v>
      </c>
      <c r="E54" s="291" t="n">
        <f aca="false">IFERROR(MAX(0,E53+F53-G53),0)</f>
        <v>0</v>
      </c>
      <c r="F54" s="291" t="n">
        <f aca="false">IFERROR(E54*Assumptions!$B$59,0)</f>
        <v>0</v>
      </c>
      <c r="G54" s="291" t="n">
        <f aca="false">IFERROR(MIN(E54+F54,MAX(0,B54-D54)),0)</f>
        <v>0</v>
      </c>
    </row>
    <row r="55" customFormat="false" ht="15" hidden="false" customHeight="true" outlineLevel="0" collapsed="false">
      <c r="A55" s="90" t="n">
        <v>3</v>
      </c>
      <c r="B55" s="291" t="n">
        <f aca="false">IFERROR($B$33,0)</f>
        <v>0</v>
      </c>
      <c r="C55" s="291" t="n">
        <f aca="false">IFERROR(MAX(0,C54-D54),0)</f>
        <v>0</v>
      </c>
      <c r="D55" s="291" t="n">
        <f aca="false">IFERROR(MIN(C55,B55),0)</f>
        <v>0</v>
      </c>
      <c r="E55" s="291" t="n">
        <f aca="false">IFERROR(MAX(0,E54+F54-G54),0)</f>
        <v>0</v>
      </c>
      <c r="F55" s="291" t="n">
        <f aca="false">IFERROR(E55*Assumptions!$B$59,0)</f>
        <v>0</v>
      </c>
      <c r="G55" s="291" t="n">
        <f aca="false">IFERROR(MIN(E55+F55,MAX(0,B55-D55)),0)</f>
        <v>0</v>
      </c>
    </row>
    <row r="56" customFormat="false" ht="15" hidden="false" customHeight="true" outlineLevel="0" collapsed="false">
      <c r="A56" s="90" t="n">
        <v>4</v>
      </c>
      <c r="B56" s="291" t="n">
        <f aca="false">IFERROR($B$33,0)</f>
        <v>0</v>
      </c>
      <c r="C56" s="291" t="n">
        <f aca="false">IFERROR(MAX(0,C55-D55),0)</f>
        <v>0</v>
      </c>
      <c r="D56" s="291" t="n">
        <f aca="false">IFERROR(MIN(C56,B56),0)</f>
        <v>0</v>
      </c>
      <c r="E56" s="291" t="n">
        <f aca="false">IFERROR(MAX(0,E55+F55-G55),0)</f>
        <v>0</v>
      </c>
      <c r="F56" s="291" t="n">
        <f aca="false">IFERROR(E56*Assumptions!$B$59,0)</f>
        <v>0</v>
      </c>
      <c r="G56" s="291" t="n">
        <f aca="false">IFERROR(MIN(E56+F56,MAX(0,B56-D56)),0)</f>
        <v>0</v>
      </c>
    </row>
    <row r="57" customFormat="false" ht="15" hidden="false" customHeight="true" outlineLevel="0" collapsed="false">
      <c r="A57" s="90" t="n">
        <v>5</v>
      </c>
      <c r="B57" s="291" t="n">
        <f aca="false">IFERROR($B$33,0)</f>
        <v>0</v>
      </c>
      <c r="C57" s="291" t="n">
        <f aca="false">IFERROR(MAX(0,C56-D56),0)</f>
        <v>0</v>
      </c>
      <c r="D57" s="291" t="n">
        <f aca="false">IFERROR(MIN(C57,B57),0)</f>
        <v>0</v>
      </c>
      <c r="E57" s="291" t="n">
        <f aca="false">IFERROR(MAX(0,E56+F56-G56),0)</f>
        <v>0</v>
      </c>
      <c r="F57" s="291" t="n">
        <f aca="false">IFERROR(E57*Assumptions!$B$59,0)</f>
        <v>0</v>
      </c>
      <c r="G57" s="291" t="n">
        <f aca="false">IFERROR(MIN(E57+F57,MAX(0,B57-D57)),0)</f>
        <v>0</v>
      </c>
    </row>
    <row r="58" customFormat="false" ht="15" hidden="false" customHeight="true" outlineLevel="0" collapsed="false">
      <c r="A58" s="90" t="n">
        <v>6</v>
      </c>
      <c r="B58" s="291" t="n">
        <f aca="false">IFERROR($B$33,0)</f>
        <v>0</v>
      </c>
      <c r="C58" s="291" t="n">
        <f aca="false">IFERROR(MAX(0,C57-D57),0)</f>
        <v>0</v>
      </c>
      <c r="D58" s="291" t="n">
        <f aca="false">IFERROR(MIN(C58,B58),0)</f>
        <v>0</v>
      </c>
      <c r="E58" s="291" t="n">
        <f aca="false">IFERROR(MAX(0,E57+F57-G57),0)</f>
        <v>0</v>
      </c>
      <c r="F58" s="291" t="n">
        <f aca="false">IFERROR(E58*Assumptions!$B$59,0)</f>
        <v>0</v>
      </c>
      <c r="G58" s="291" t="n">
        <f aca="false">IFERROR(MIN(E58+F58,MAX(0,B58-D58)),0)</f>
        <v>0</v>
      </c>
    </row>
    <row r="59" customFormat="false" ht="15" hidden="false" customHeight="true" outlineLevel="0" collapsed="false">
      <c r="A59" s="90" t="n">
        <v>7</v>
      </c>
      <c r="B59" s="291" t="n">
        <f aca="false">IFERROR($B$33,0)</f>
        <v>0</v>
      </c>
      <c r="C59" s="291" t="n">
        <f aca="false">IFERROR(MAX(0,C58-D58),0)</f>
        <v>0</v>
      </c>
      <c r="D59" s="291" t="n">
        <f aca="false">IFERROR(MIN(C59,B59),0)</f>
        <v>0</v>
      </c>
      <c r="E59" s="291" t="n">
        <f aca="false">IFERROR(MAX(0,E58+F58-G58),0)</f>
        <v>0</v>
      </c>
      <c r="F59" s="291" t="n">
        <f aca="false">IFERROR(E59*Assumptions!$B$59,0)</f>
        <v>0</v>
      </c>
      <c r="G59" s="291" t="n">
        <f aca="false">IFERROR(MIN(E59+F59,MAX(0,B59-D59)),0)</f>
        <v>0</v>
      </c>
    </row>
    <row r="60" customFormat="false" ht="15" hidden="false" customHeight="true" outlineLevel="0" collapsed="false">
      <c r="A60" s="90" t="n">
        <v>8</v>
      </c>
      <c r="B60" s="291" t="n">
        <f aca="false">IFERROR($B$33,0)</f>
        <v>0</v>
      </c>
      <c r="C60" s="291" t="n">
        <f aca="false">IFERROR(MAX(0,C59-D59),0)</f>
        <v>0</v>
      </c>
      <c r="D60" s="291" t="n">
        <f aca="false">IFERROR(MIN(C60,B60),0)</f>
        <v>0</v>
      </c>
      <c r="E60" s="291" t="n">
        <f aca="false">IFERROR(MAX(0,E59+F59-G59),0)</f>
        <v>0</v>
      </c>
      <c r="F60" s="291" t="n">
        <f aca="false">IFERROR(E60*Assumptions!$B$59,0)</f>
        <v>0</v>
      </c>
      <c r="G60" s="291" t="n">
        <f aca="false">IFERROR(MIN(E60+F60,MAX(0,B60-D60)),0)</f>
        <v>0</v>
      </c>
    </row>
    <row r="61" customFormat="false" ht="15" hidden="false" customHeight="true" outlineLevel="0" collapsed="false">
      <c r="A61" s="90" t="n">
        <v>9</v>
      </c>
      <c r="B61" s="291" t="n">
        <f aca="false">IFERROR($B$33,0)</f>
        <v>0</v>
      </c>
      <c r="C61" s="291" t="n">
        <f aca="false">IFERROR(MAX(0,C60-D60),0)</f>
        <v>0</v>
      </c>
      <c r="D61" s="291" t="n">
        <f aca="false">IFERROR(MIN(C61,B61),0)</f>
        <v>0</v>
      </c>
      <c r="E61" s="291" t="n">
        <f aca="false">IFERROR(MAX(0,E60+F60-G60),0)</f>
        <v>0</v>
      </c>
      <c r="F61" s="291" t="n">
        <f aca="false">IFERROR(E61*Assumptions!$B$59,0)</f>
        <v>0</v>
      </c>
      <c r="G61" s="291" t="n">
        <f aca="false">IFERROR(MIN(E61+F61,MAX(0,B61-D61)),0)</f>
        <v>0</v>
      </c>
    </row>
    <row r="62" customFormat="false" ht="15" hidden="false" customHeight="true" outlineLevel="0" collapsed="false">
      <c r="A62" s="90" t="n">
        <v>10</v>
      </c>
      <c r="B62" s="291" t="n">
        <f aca="false">IFERROR($B$33,0)</f>
        <v>0</v>
      </c>
      <c r="C62" s="291" t="n">
        <f aca="false">IFERROR(MAX(0,C61-D61),0)</f>
        <v>0</v>
      </c>
      <c r="D62" s="291" t="n">
        <f aca="false">IFERROR(MIN(C62,B62),0)</f>
        <v>0</v>
      </c>
      <c r="E62" s="291" t="n">
        <f aca="false">IFERROR(MAX(0,E61+F61-G61),0)</f>
        <v>0</v>
      </c>
      <c r="F62" s="291" t="n">
        <f aca="false">IFERROR(E62*Assumptions!$B$59,0)</f>
        <v>0</v>
      </c>
      <c r="G62" s="291" t="n">
        <f aca="false">IFERROR(MIN(E62+F62,MAX(0,B62-D62)),0)</f>
        <v>0</v>
      </c>
    </row>
    <row r="63" customFormat="false" ht="15" hidden="false" customHeight="true" outlineLevel="0" collapsed="false">
      <c r="A63" s="90" t="n">
        <v>11</v>
      </c>
      <c r="B63" s="291" t="n">
        <f aca="false">IFERROR($B$33,0)</f>
        <v>0</v>
      </c>
      <c r="C63" s="291" t="n">
        <f aca="false">IFERROR(MAX(0,C62-D62),0)</f>
        <v>0</v>
      </c>
      <c r="D63" s="291" t="n">
        <f aca="false">IFERROR(MIN(C63,B63),0)</f>
        <v>0</v>
      </c>
      <c r="E63" s="291" t="n">
        <f aca="false">IFERROR(MAX(0,E62+F62-G62),0)</f>
        <v>0</v>
      </c>
      <c r="F63" s="291" t="n">
        <f aca="false">IFERROR(E63*Assumptions!$B$59,0)</f>
        <v>0</v>
      </c>
      <c r="G63" s="291" t="n">
        <f aca="false">IFERROR(MIN(E63+F63,MAX(0,B63-D63)),0)</f>
        <v>0</v>
      </c>
    </row>
    <row r="64" customFormat="false" ht="15" hidden="false" customHeight="true" outlineLevel="0" collapsed="false">
      <c r="A64" s="90" t="n">
        <v>12</v>
      </c>
      <c r="B64" s="291" t="n">
        <f aca="false">IFERROR($B$33,0)</f>
        <v>0</v>
      </c>
      <c r="C64" s="291" t="n">
        <f aca="false">IFERROR(MAX(0,C63-D63),0)</f>
        <v>0</v>
      </c>
      <c r="D64" s="291" t="n">
        <f aca="false">IFERROR(MIN(C64,B64),0)</f>
        <v>0</v>
      </c>
      <c r="E64" s="291" t="n">
        <f aca="false">IFERROR(MAX(0,E63+F63-G63),0)</f>
        <v>0</v>
      </c>
      <c r="F64" s="291" t="n">
        <f aca="false">IFERROR(E64*Assumptions!$B$59,0)</f>
        <v>0</v>
      </c>
      <c r="G64" s="291" t="n">
        <f aca="false">IFERROR(MIN(E64+F64,MAX(0,B64-D64)),0)</f>
        <v>0</v>
      </c>
    </row>
    <row r="65" customFormat="false" ht="15" hidden="false" customHeight="true" outlineLevel="0" collapsed="false">
      <c r="A65" s="90" t="n">
        <v>13</v>
      </c>
      <c r="B65" s="291" t="n">
        <f aca="false">IFERROR($B$33,0)</f>
        <v>0</v>
      </c>
      <c r="C65" s="291" t="n">
        <f aca="false">IFERROR(MAX(0,C64-D64),0)</f>
        <v>0</v>
      </c>
      <c r="D65" s="291" t="n">
        <f aca="false">IFERROR(MIN(C65,B65),0)</f>
        <v>0</v>
      </c>
      <c r="E65" s="291" t="n">
        <f aca="false">IFERROR(MAX(0,E64+F64-G64),0)</f>
        <v>0</v>
      </c>
      <c r="F65" s="291" t="n">
        <f aca="false">IFERROR(E65*Assumptions!$B$59,0)</f>
        <v>0</v>
      </c>
      <c r="G65" s="291" t="n">
        <f aca="false">IFERROR(MIN(E65+F65,MAX(0,B65-D65)),0)</f>
        <v>0</v>
      </c>
    </row>
    <row r="66" customFormat="false" ht="15" hidden="false" customHeight="true" outlineLevel="0" collapsed="false">
      <c r="A66" s="90" t="n">
        <v>14</v>
      </c>
      <c r="B66" s="291" t="n">
        <f aca="false">IFERROR($B$33,0)</f>
        <v>0</v>
      </c>
      <c r="C66" s="291" t="n">
        <f aca="false">IFERROR(MAX(0,C65-D65),0)</f>
        <v>0</v>
      </c>
      <c r="D66" s="291" t="n">
        <f aca="false">IFERROR(MIN(C66,B66),0)</f>
        <v>0</v>
      </c>
      <c r="E66" s="291" t="n">
        <f aca="false">IFERROR(MAX(0,E65+F65-G65),0)</f>
        <v>0</v>
      </c>
      <c r="F66" s="291" t="n">
        <f aca="false">IFERROR(E66*Assumptions!$B$59,0)</f>
        <v>0</v>
      </c>
      <c r="G66" s="291" t="n">
        <f aca="false">IFERROR(MIN(E66+F66,MAX(0,B66-D66)),0)</f>
        <v>0</v>
      </c>
    </row>
    <row r="67" customFormat="false" ht="15" hidden="false" customHeight="true" outlineLevel="0" collapsed="false">
      <c r="A67" s="90" t="n">
        <v>15</v>
      </c>
      <c r="B67" s="291" t="n">
        <f aca="false">IFERROR($B$33,0)</f>
        <v>0</v>
      </c>
      <c r="C67" s="291" t="n">
        <f aca="false">IFERROR(MAX(0,C66-D66),0)</f>
        <v>0</v>
      </c>
      <c r="D67" s="291" t="n">
        <f aca="false">IFERROR(MIN(C67,B67),0)</f>
        <v>0</v>
      </c>
      <c r="E67" s="291" t="n">
        <f aca="false">IFERROR(MAX(0,E66+F66-G66),0)</f>
        <v>0</v>
      </c>
      <c r="F67" s="291" t="n">
        <f aca="false">IFERROR(E67*Assumptions!$B$59,0)</f>
        <v>0</v>
      </c>
      <c r="G67" s="291" t="n">
        <f aca="false">IFERROR(MIN(E67+F67,MAX(0,B67-D67)),0)</f>
        <v>0</v>
      </c>
    </row>
    <row r="68" customFormat="false" ht="15" hidden="false" customHeight="true" outlineLevel="0" collapsed="false">
      <c r="A68" s="90" t="n">
        <v>16</v>
      </c>
      <c r="B68" s="291" t="n">
        <f aca="false">IFERROR($B$33,0)</f>
        <v>0</v>
      </c>
      <c r="C68" s="291" t="n">
        <f aca="false">IFERROR(MAX(0,C67-D67),0)</f>
        <v>0</v>
      </c>
      <c r="D68" s="291" t="n">
        <f aca="false">IFERROR(MIN(C68,B68),0)</f>
        <v>0</v>
      </c>
      <c r="E68" s="291" t="n">
        <f aca="false">IFERROR(MAX(0,E67+F67-G67),0)</f>
        <v>0</v>
      </c>
      <c r="F68" s="291" t="n">
        <f aca="false">IFERROR(E68*Assumptions!$B$59,0)</f>
        <v>0</v>
      </c>
      <c r="G68" s="291" t="n">
        <f aca="false">IFERROR(MIN(E68+F68,MAX(0,B68-D68)),0)</f>
        <v>0</v>
      </c>
    </row>
    <row r="69" customFormat="false" ht="15" hidden="false" customHeight="true" outlineLevel="0" collapsed="false">
      <c r="A69" s="90" t="n">
        <v>17</v>
      </c>
      <c r="B69" s="291" t="n">
        <f aca="false">IFERROR($B$33,0)</f>
        <v>0</v>
      </c>
      <c r="C69" s="291" t="n">
        <f aca="false">IFERROR(MAX(0,C68-D68),0)</f>
        <v>0</v>
      </c>
      <c r="D69" s="291" t="n">
        <f aca="false">IFERROR(MIN(C69,B69),0)</f>
        <v>0</v>
      </c>
      <c r="E69" s="291" t="n">
        <f aca="false">IFERROR(MAX(0,E68+F68-G68),0)</f>
        <v>0</v>
      </c>
      <c r="F69" s="291" t="n">
        <f aca="false">IFERROR(E69*Assumptions!$B$59,0)</f>
        <v>0</v>
      </c>
      <c r="G69" s="291" t="n">
        <f aca="false">IFERROR(MIN(E69+F69,MAX(0,B69-D69)),0)</f>
        <v>0</v>
      </c>
    </row>
    <row r="70" customFormat="false" ht="15" hidden="false" customHeight="true" outlineLevel="0" collapsed="false">
      <c r="A70" s="90" t="n">
        <v>18</v>
      </c>
      <c r="B70" s="291" t="n">
        <f aca="false">IFERROR($B$33,0)</f>
        <v>0</v>
      </c>
      <c r="C70" s="291" t="n">
        <f aca="false">IFERROR(MAX(0,C69-D69),0)</f>
        <v>0</v>
      </c>
      <c r="D70" s="291" t="n">
        <f aca="false">IFERROR(MIN(C70,B70),0)</f>
        <v>0</v>
      </c>
      <c r="E70" s="291" t="n">
        <f aca="false">IFERROR(MAX(0,E69+F69-G69),0)</f>
        <v>0</v>
      </c>
      <c r="F70" s="291" t="n">
        <f aca="false">IFERROR(E70*Assumptions!$B$59,0)</f>
        <v>0</v>
      </c>
      <c r="G70" s="291" t="n">
        <f aca="false">IFERROR(MIN(E70+F70,MAX(0,B70-D70)),0)</f>
        <v>0</v>
      </c>
    </row>
    <row r="71" customFormat="false" ht="15" hidden="false" customHeight="true" outlineLevel="0" collapsed="false">
      <c r="A71" s="90" t="n">
        <v>19</v>
      </c>
      <c r="B71" s="291" t="n">
        <f aca="false">IFERROR($B$33,0)</f>
        <v>0</v>
      </c>
      <c r="C71" s="291" t="n">
        <f aca="false">IFERROR(MAX(0,C70-D70),0)</f>
        <v>0</v>
      </c>
      <c r="D71" s="291" t="n">
        <f aca="false">IFERROR(MIN(C71,B71),0)</f>
        <v>0</v>
      </c>
      <c r="E71" s="291" t="n">
        <f aca="false">IFERROR(MAX(0,E70+F70-G70),0)</f>
        <v>0</v>
      </c>
      <c r="F71" s="291" t="n">
        <f aca="false">IFERROR(E71*Assumptions!$B$59,0)</f>
        <v>0</v>
      </c>
      <c r="G71" s="291" t="n">
        <f aca="false">IFERROR(MIN(E71+F71,MAX(0,B71-D71)),0)</f>
        <v>0</v>
      </c>
    </row>
    <row r="72" customFormat="false" ht="15" hidden="false" customHeight="true" outlineLevel="0" collapsed="false">
      <c r="A72" s="90" t="n">
        <v>20</v>
      </c>
      <c r="B72" s="291" t="n">
        <f aca="false">IFERROR($B$33,0)</f>
        <v>0</v>
      </c>
      <c r="C72" s="291" t="n">
        <f aca="false">IFERROR(MAX(0,C71-D71),0)</f>
        <v>0</v>
      </c>
      <c r="D72" s="291" t="n">
        <f aca="false">IFERROR(MIN(C72,B72),0)</f>
        <v>0</v>
      </c>
      <c r="E72" s="291" t="n">
        <f aca="false">IFERROR(MAX(0,E71+F71-G71),0)</f>
        <v>0</v>
      </c>
      <c r="F72" s="291" t="n">
        <f aca="false">IFERROR(E72*Assumptions!$B$59,0)</f>
        <v>0</v>
      </c>
      <c r="G72" s="291" t="n">
        <f aca="false">IFERROR(MIN(E72+F72,MAX(0,B72-D72)),0)</f>
        <v>0</v>
      </c>
    </row>
    <row r="73" customFormat="false" ht="15" hidden="false" customHeight="true" outlineLevel="0" collapsed="false">
      <c r="A73" s="90" t="n">
        <v>21</v>
      </c>
      <c r="B73" s="291" t="n">
        <f aca="false">IFERROR($B$33,0)</f>
        <v>0</v>
      </c>
      <c r="C73" s="291" t="n">
        <f aca="false">IFERROR(MAX(0,C72-D72),0)</f>
        <v>0</v>
      </c>
      <c r="D73" s="291" t="n">
        <f aca="false">IFERROR(MIN(C73,B73),0)</f>
        <v>0</v>
      </c>
      <c r="E73" s="291" t="n">
        <f aca="false">IFERROR(MAX(0,E72+F72-G72),0)</f>
        <v>0</v>
      </c>
      <c r="F73" s="291" t="n">
        <f aca="false">IFERROR(E73*Assumptions!$B$59,0)</f>
        <v>0</v>
      </c>
      <c r="G73" s="291" t="n">
        <f aca="false">IFERROR(MIN(E73+F73,MAX(0,B73-D73)),0)</f>
        <v>0</v>
      </c>
    </row>
    <row r="74" customFormat="false" ht="15" hidden="false" customHeight="true" outlineLevel="0" collapsed="false">
      <c r="A74" s="90" t="n">
        <v>22</v>
      </c>
      <c r="B74" s="291" t="n">
        <f aca="false">IFERROR($B$33,0)</f>
        <v>0</v>
      </c>
      <c r="C74" s="291" t="n">
        <f aca="false">IFERROR(MAX(0,C73-D73),0)</f>
        <v>0</v>
      </c>
      <c r="D74" s="291" t="n">
        <f aca="false">IFERROR(MIN(C74,B74),0)</f>
        <v>0</v>
      </c>
      <c r="E74" s="291" t="n">
        <f aca="false">IFERROR(MAX(0,E73+F73-G73),0)</f>
        <v>0</v>
      </c>
      <c r="F74" s="291" t="n">
        <f aca="false">IFERROR(E74*Assumptions!$B$59,0)</f>
        <v>0</v>
      </c>
      <c r="G74" s="291" t="n">
        <f aca="false">IFERROR(MIN(E74+F74,MAX(0,B74-D74)),0)</f>
        <v>0</v>
      </c>
    </row>
    <row r="75" customFormat="false" ht="15" hidden="false" customHeight="true" outlineLevel="0" collapsed="false">
      <c r="A75" s="90" t="n">
        <v>23</v>
      </c>
      <c r="B75" s="291" t="n">
        <f aca="false">IFERROR($B$33,0)</f>
        <v>0</v>
      </c>
      <c r="C75" s="291" t="n">
        <f aca="false">IFERROR(MAX(0,C74-D74),0)</f>
        <v>0</v>
      </c>
      <c r="D75" s="291" t="n">
        <f aca="false">IFERROR(MIN(C75,B75),0)</f>
        <v>0</v>
      </c>
      <c r="E75" s="291" t="n">
        <f aca="false">IFERROR(MAX(0,E74+F74-G74),0)</f>
        <v>0</v>
      </c>
      <c r="F75" s="291" t="n">
        <f aca="false">IFERROR(E75*Assumptions!$B$59,0)</f>
        <v>0</v>
      </c>
      <c r="G75" s="291" t="n">
        <f aca="false">IFERROR(MIN(E75+F75,MAX(0,B75-D75)),0)</f>
        <v>0</v>
      </c>
    </row>
    <row r="76" customFormat="false" ht="15" hidden="false" customHeight="true" outlineLevel="0" collapsed="false">
      <c r="A76" s="90" t="n">
        <v>24</v>
      </c>
      <c r="B76" s="291" t="n">
        <f aca="false">IFERROR($B$33,0)</f>
        <v>0</v>
      </c>
      <c r="C76" s="291" t="n">
        <f aca="false">IFERROR(MAX(0,C75-D75),0)</f>
        <v>0</v>
      </c>
      <c r="D76" s="291" t="n">
        <f aca="false">IFERROR(MIN(C76,B76),0)</f>
        <v>0</v>
      </c>
      <c r="E76" s="291" t="n">
        <f aca="false">IFERROR(MAX(0,E75+F75-G75),0)</f>
        <v>0</v>
      </c>
      <c r="F76" s="291" t="n">
        <f aca="false">IFERROR(E76*Assumptions!$B$59,0)</f>
        <v>0</v>
      </c>
      <c r="G76" s="291" t="n">
        <f aca="false">IFERROR(MIN(E76+F76,MAX(0,B76-D76)),0)</f>
        <v>0</v>
      </c>
    </row>
    <row r="77" customFormat="false" ht="15" hidden="false" customHeight="true" outlineLevel="0" collapsed="false">
      <c r="A77" s="90" t="n">
        <v>25</v>
      </c>
      <c r="B77" s="291" t="n">
        <f aca="false">IFERROR($B$33,0)</f>
        <v>0</v>
      </c>
      <c r="C77" s="291" t="n">
        <f aca="false">IFERROR(MAX(0,C76-D76),0)</f>
        <v>0</v>
      </c>
      <c r="D77" s="291" t="n">
        <f aca="false">IFERROR(MIN(C77,B77),0)</f>
        <v>0</v>
      </c>
      <c r="E77" s="291" t="n">
        <f aca="false">IFERROR(MAX(0,E76+F76-G76),0)</f>
        <v>0</v>
      </c>
      <c r="F77" s="291" t="n">
        <f aca="false">IFERROR(E77*Assumptions!$B$59,0)</f>
        <v>0</v>
      </c>
      <c r="G77" s="291" t="n">
        <f aca="false">IFERROR(MIN(E77+F77,MAX(0,B77-D77)),0)</f>
        <v>0</v>
      </c>
    </row>
    <row r="78" customFormat="false" ht="15" hidden="false" customHeight="true" outlineLevel="0" collapsed="false">
      <c r="A78" s="90" t="n">
        <v>26</v>
      </c>
      <c r="B78" s="291" t="n">
        <f aca="false">IFERROR($B$33,0)</f>
        <v>0</v>
      </c>
      <c r="C78" s="291" t="n">
        <f aca="false">IFERROR(MAX(0,C77-D77),0)</f>
        <v>0</v>
      </c>
      <c r="D78" s="291" t="n">
        <f aca="false">IFERROR(MIN(C78,B78),0)</f>
        <v>0</v>
      </c>
      <c r="E78" s="291" t="n">
        <f aca="false">IFERROR(MAX(0,E77+F77-G77),0)</f>
        <v>0</v>
      </c>
      <c r="F78" s="291" t="n">
        <f aca="false">IFERROR(E78*Assumptions!$B$59,0)</f>
        <v>0</v>
      </c>
      <c r="G78" s="291" t="n">
        <f aca="false">IFERROR(MIN(E78+F78,MAX(0,B78-D78)),0)</f>
        <v>0</v>
      </c>
    </row>
    <row r="79" customFormat="false" ht="15" hidden="false" customHeight="true" outlineLevel="0" collapsed="false">
      <c r="A79" s="90" t="n">
        <v>27</v>
      </c>
      <c r="B79" s="291" t="n">
        <f aca="false">IFERROR($B$33,0)</f>
        <v>0</v>
      </c>
      <c r="C79" s="291" t="n">
        <f aca="false">IFERROR(MAX(0,C78-D78),0)</f>
        <v>0</v>
      </c>
      <c r="D79" s="291" t="n">
        <f aca="false">IFERROR(MIN(C79,B79),0)</f>
        <v>0</v>
      </c>
      <c r="E79" s="291" t="n">
        <f aca="false">IFERROR(MAX(0,E78+F78-G78),0)</f>
        <v>0</v>
      </c>
      <c r="F79" s="291" t="n">
        <f aca="false">IFERROR(E79*Assumptions!$B$59,0)</f>
        <v>0</v>
      </c>
      <c r="G79" s="291" t="n">
        <f aca="false">IFERROR(MIN(E79+F79,MAX(0,B79-D79)),0)</f>
        <v>0</v>
      </c>
    </row>
    <row r="80" customFormat="false" ht="15" hidden="false" customHeight="true" outlineLevel="0" collapsed="false">
      <c r="A80" s="90" t="n">
        <v>28</v>
      </c>
      <c r="B80" s="291" t="n">
        <f aca="false">IFERROR($B$33,0)</f>
        <v>0</v>
      </c>
      <c r="C80" s="291" t="n">
        <f aca="false">IFERROR(MAX(0,C79-D79),0)</f>
        <v>0</v>
      </c>
      <c r="D80" s="291" t="n">
        <f aca="false">IFERROR(MIN(C80,B80),0)</f>
        <v>0</v>
      </c>
      <c r="E80" s="291" t="n">
        <f aca="false">IFERROR(MAX(0,E79+F79-G79),0)</f>
        <v>0</v>
      </c>
      <c r="F80" s="291" t="n">
        <f aca="false">IFERROR(E80*Assumptions!$B$59,0)</f>
        <v>0</v>
      </c>
      <c r="G80" s="291" t="n">
        <f aca="false">IFERROR(MIN(E80+F80,MAX(0,B80-D80)),0)</f>
        <v>0</v>
      </c>
    </row>
    <row r="81" customFormat="false" ht="15" hidden="false" customHeight="true" outlineLevel="0" collapsed="false">
      <c r="A81" s="90" t="n">
        <v>29</v>
      </c>
      <c r="B81" s="291" t="n">
        <f aca="false">IFERROR($B$33,0)</f>
        <v>0</v>
      </c>
      <c r="C81" s="291" t="n">
        <f aca="false">IFERROR(MAX(0,C80-D80),0)</f>
        <v>0</v>
      </c>
      <c r="D81" s="291" t="n">
        <f aca="false">IFERROR(MIN(C81,B81),0)</f>
        <v>0</v>
      </c>
      <c r="E81" s="291" t="n">
        <f aca="false">IFERROR(MAX(0,E80+F80-G80),0)</f>
        <v>0</v>
      </c>
      <c r="F81" s="291" t="n">
        <f aca="false">IFERROR(E81*Assumptions!$B$59,0)</f>
        <v>0</v>
      </c>
      <c r="G81" s="291" t="n">
        <f aca="false">IFERROR(MIN(E81+F81,MAX(0,B81-D81)),0)</f>
        <v>0</v>
      </c>
    </row>
    <row r="82" customFormat="false" ht="15" hidden="false" customHeight="true" outlineLevel="0" collapsed="false">
      <c r="A82" s="90" t="n">
        <v>30</v>
      </c>
      <c r="B82" s="291" t="n">
        <f aca="false">IFERROR($B$33,0)</f>
        <v>0</v>
      </c>
      <c r="C82" s="291" t="n">
        <f aca="false">IFERROR(MAX(0,C81-D81),0)</f>
        <v>0</v>
      </c>
      <c r="D82" s="291" t="n">
        <f aca="false">IFERROR(MIN(C82,B82),0)</f>
        <v>0</v>
      </c>
      <c r="E82" s="291" t="n">
        <f aca="false">IFERROR(MAX(0,E81+F81-G81),0)</f>
        <v>0</v>
      </c>
      <c r="F82" s="291" t="n">
        <f aca="false">IFERROR(E82*Assumptions!$B$59,0)</f>
        <v>0</v>
      </c>
      <c r="G82" s="291" t="n">
        <f aca="false">IFERROR(MIN(E82+F82,MAX(0,B82-D82)),0)</f>
        <v>0</v>
      </c>
    </row>
    <row r="83" customFormat="false" ht="15" hidden="false" customHeight="true" outlineLevel="0" collapsed="false">
      <c r="A83" s="90" t="n">
        <v>31</v>
      </c>
      <c r="B83" s="291" t="n">
        <f aca="false">IFERROR($B$33,0)</f>
        <v>0</v>
      </c>
      <c r="C83" s="291" t="n">
        <f aca="false">IFERROR(MAX(0,C82-D82),0)</f>
        <v>0</v>
      </c>
      <c r="D83" s="291" t="n">
        <f aca="false">IFERROR(MIN(C83,B83),0)</f>
        <v>0</v>
      </c>
      <c r="E83" s="291" t="n">
        <f aca="false">IFERROR(MAX(0,E82+F82-G82),0)</f>
        <v>0</v>
      </c>
      <c r="F83" s="291" t="n">
        <f aca="false">IFERROR(E83*Assumptions!$B$59,0)</f>
        <v>0</v>
      </c>
      <c r="G83" s="291" t="n">
        <f aca="false">IFERROR(MIN(E83+F83,MAX(0,B83-D83)),0)</f>
        <v>0</v>
      </c>
    </row>
    <row r="84" customFormat="false" ht="15" hidden="false" customHeight="true" outlineLevel="0" collapsed="false">
      <c r="A84" s="90" t="n">
        <v>32</v>
      </c>
      <c r="B84" s="291" t="n">
        <f aca="false">IFERROR($B$33,0)</f>
        <v>0</v>
      </c>
      <c r="C84" s="291" t="n">
        <f aca="false">IFERROR(MAX(0,C83-D83),0)</f>
        <v>0</v>
      </c>
      <c r="D84" s="291" t="n">
        <f aca="false">IFERROR(MIN(C84,B84),0)</f>
        <v>0</v>
      </c>
      <c r="E84" s="291" t="n">
        <f aca="false">IFERROR(MAX(0,E83+F83-G83),0)</f>
        <v>0</v>
      </c>
      <c r="F84" s="291" t="n">
        <f aca="false">IFERROR(E84*Assumptions!$B$59,0)</f>
        <v>0</v>
      </c>
      <c r="G84" s="291" t="n">
        <f aca="false">IFERROR(MIN(E84+F84,MAX(0,B84-D84)),0)</f>
        <v>0</v>
      </c>
    </row>
    <row r="85" customFormat="false" ht="15" hidden="false" customHeight="true" outlineLevel="0" collapsed="false">
      <c r="A85" s="90" t="n">
        <v>33</v>
      </c>
      <c r="B85" s="291" t="n">
        <f aca="false">IFERROR($B$33,0)</f>
        <v>0</v>
      </c>
      <c r="C85" s="291" t="n">
        <f aca="false">IFERROR(MAX(0,C84-D84),0)</f>
        <v>0</v>
      </c>
      <c r="D85" s="291" t="n">
        <f aca="false">IFERROR(MIN(C85,B85),0)</f>
        <v>0</v>
      </c>
      <c r="E85" s="291" t="n">
        <f aca="false">IFERROR(MAX(0,E84+F84-G84),0)</f>
        <v>0</v>
      </c>
      <c r="F85" s="291" t="n">
        <f aca="false">IFERROR(E85*Assumptions!$B$59,0)</f>
        <v>0</v>
      </c>
      <c r="G85" s="291" t="n">
        <f aca="false">IFERROR(MIN(E85+F85,MAX(0,B85-D85)),0)</f>
        <v>0</v>
      </c>
    </row>
    <row r="86" customFormat="false" ht="15" hidden="false" customHeight="true" outlineLevel="0" collapsed="false">
      <c r="A86" s="90" t="n">
        <v>34</v>
      </c>
      <c r="B86" s="291" t="n">
        <f aca="false">IFERROR($B$33,0)</f>
        <v>0</v>
      </c>
      <c r="C86" s="291" t="n">
        <f aca="false">IFERROR(MAX(0,C85-D85),0)</f>
        <v>0</v>
      </c>
      <c r="D86" s="291" t="n">
        <f aca="false">IFERROR(MIN(C86,B86),0)</f>
        <v>0</v>
      </c>
      <c r="E86" s="291" t="n">
        <f aca="false">IFERROR(MAX(0,E85+F85-G85),0)</f>
        <v>0</v>
      </c>
      <c r="F86" s="291" t="n">
        <f aca="false">IFERROR(E86*Assumptions!$B$59,0)</f>
        <v>0</v>
      </c>
      <c r="G86" s="291" t="n">
        <f aca="false">IFERROR(MIN(E86+F86,MAX(0,B86-D86)),0)</f>
        <v>0</v>
      </c>
    </row>
    <row r="87" customFormat="false" ht="15" hidden="false" customHeight="true" outlineLevel="0" collapsed="false">
      <c r="A87" s="90" t="n">
        <v>35</v>
      </c>
      <c r="B87" s="291" t="n">
        <f aca="false">IFERROR($B$33,0)</f>
        <v>0</v>
      </c>
      <c r="C87" s="291" t="n">
        <f aca="false">IFERROR(MAX(0,C86-D86),0)</f>
        <v>0</v>
      </c>
      <c r="D87" s="291" t="n">
        <f aca="false">IFERROR(MIN(C87,B87),0)</f>
        <v>0</v>
      </c>
      <c r="E87" s="291" t="n">
        <f aca="false">IFERROR(MAX(0,E86+F86-G86),0)</f>
        <v>0</v>
      </c>
      <c r="F87" s="291" t="n">
        <f aca="false">IFERROR(E87*Assumptions!$B$59,0)</f>
        <v>0</v>
      </c>
      <c r="G87" s="291" t="n">
        <f aca="false">IFERROR(MIN(E87+F87,MAX(0,B87-D87)),0)</f>
        <v>0</v>
      </c>
    </row>
    <row r="88" customFormat="false" ht="15" hidden="false" customHeight="true" outlineLevel="0" collapsed="false">
      <c r="A88" s="90" t="n">
        <v>36</v>
      </c>
      <c r="B88" s="291" t="n">
        <f aca="false">IFERROR($B$33,0)</f>
        <v>0</v>
      </c>
      <c r="C88" s="291" t="n">
        <f aca="false">IFERROR(MAX(0,C87-D87),0)</f>
        <v>0</v>
      </c>
      <c r="D88" s="291" t="n">
        <f aca="false">IFERROR(MIN(C88,B88),0)</f>
        <v>0</v>
      </c>
      <c r="E88" s="291" t="n">
        <f aca="false">IFERROR(MAX(0,E87+F87-G87),0)</f>
        <v>0</v>
      </c>
      <c r="F88" s="291" t="n">
        <f aca="false">IFERROR(E88*Assumptions!$B$59,0)</f>
        <v>0</v>
      </c>
      <c r="G88" s="291" t="n">
        <f aca="false">IFERROR(MIN(E88+F88,MAX(0,B88-D88)),0)</f>
        <v>0</v>
      </c>
    </row>
    <row r="89" customFormat="false" ht="15" hidden="false" customHeight="true" outlineLevel="0" collapsed="false">
      <c r="A89" s="90" t="n">
        <v>37</v>
      </c>
      <c r="B89" s="291" t="n">
        <f aca="false">IFERROR($B$33,0)</f>
        <v>0</v>
      </c>
      <c r="C89" s="291" t="n">
        <f aca="false">IFERROR(MAX(0,C88-D88),0)</f>
        <v>0</v>
      </c>
      <c r="D89" s="291" t="n">
        <f aca="false">IFERROR(MIN(C89,B89),0)</f>
        <v>0</v>
      </c>
      <c r="E89" s="291" t="n">
        <f aca="false">IFERROR(MAX(0,E88+F88-G88),0)</f>
        <v>0</v>
      </c>
      <c r="F89" s="291" t="n">
        <f aca="false">IFERROR(E89*Assumptions!$B$59,0)</f>
        <v>0</v>
      </c>
      <c r="G89" s="291" t="n">
        <f aca="false">IFERROR(MIN(E89+F89,MAX(0,B89-D89)),0)</f>
        <v>0</v>
      </c>
    </row>
    <row r="90" customFormat="false" ht="15" hidden="false" customHeight="true" outlineLevel="0" collapsed="false">
      <c r="A90" s="90" t="n">
        <v>38</v>
      </c>
      <c r="B90" s="291" t="n">
        <f aca="false">IFERROR($B$33,0)</f>
        <v>0</v>
      </c>
      <c r="C90" s="291" t="n">
        <f aca="false">IFERROR(MAX(0,C89-D89),0)</f>
        <v>0</v>
      </c>
      <c r="D90" s="291" t="n">
        <f aca="false">IFERROR(MIN(C90,B90),0)</f>
        <v>0</v>
      </c>
      <c r="E90" s="291" t="n">
        <f aca="false">IFERROR(MAX(0,E89+F89-G89),0)</f>
        <v>0</v>
      </c>
      <c r="F90" s="291" t="n">
        <f aca="false">IFERROR(E90*Assumptions!$B$59,0)</f>
        <v>0</v>
      </c>
      <c r="G90" s="291" t="n">
        <f aca="false">IFERROR(MIN(E90+F90,MAX(0,B90-D90)),0)</f>
        <v>0</v>
      </c>
    </row>
    <row r="91" customFormat="false" ht="15" hidden="false" customHeight="true" outlineLevel="0" collapsed="false">
      <c r="A91" s="90" t="n">
        <v>39</v>
      </c>
      <c r="B91" s="291" t="n">
        <f aca="false">IFERROR($B$33,0)</f>
        <v>0</v>
      </c>
      <c r="C91" s="291" t="n">
        <f aca="false">IFERROR(MAX(0,C90-D90),0)</f>
        <v>0</v>
      </c>
      <c r="D91" s="291" t="n">
        <f aca="false">IFERROR(MIN(C91,B91),0)</f>
        <v>0</v>
      </c>
      <c r="E91" s="291" t="n">
        <f aca="false">IFERROR(MAX(0,E90+F90-G90),0)</f>
        <v>0</v>
      </c>
      <c r="F91" s="291" t="n">
        <f aca="false">IFERROR(E91*Assumptions!$B$59,0)</f>
        <v>0</v>
      </c>
      <c r="G91" s="291" t="n">
        <f aca="false">IFERROR(MIN(E91+F91,MAX(0,B91-D91)),0)</f>
        <v>0</v>
      </c>
    </row>
    <row r="92" customFormat="false" ht="15" hidden="false" customHeight="true" outlineLevel="0" collapsed="false">
      <c r="A92" s="90" t="n">
        <v>40</v>
      </c>
      <c r="B92" s="291" t="n">
        <f aca="false">IFERROR($B$33,0)</f>
        <v>0</v>
      </c>
      <c r="C92" s="291" t="n">
        <f aca="false">IFERROR(MAX(0,C91-D91),0)</f>
        <v>0</v>
      </c>
      <c r="D92" s="291" t="n">
        <f aca="false">IFERROR(MIN(C92,B92),0)</f>
        <v>0</v>
      </c>
      <c r="E92" s="291" t="n">
        <f aca="false">IFERROR(MAX(0,E91+F91-G91),0)</f>
        <v>0</v>
      </c>
      <c r="F92" s="291" t="n">
        <f aca="false">IFERROR(E92*Assumptions!$B$59,0)</f>
        <v>0</v>
      </c>
      <c r="G92" s="291" t="n">
        <f aca="false">IFERROR(MIN(E92+F92,MAX(0,B92-D92)),0)</f>
        <v>0</v>
      </c>
    </row>
    <row r="93" customFormat="false" ht="15" hidden="false" customHeight="true" outlineLevel="0" collapsed="false">
      <c r="A93" s="289" t="s">
        <v>1095</v>
      </c>
      <c r="D93" s="292" t="n">
        <f aca="false">IFERROR(SUM(D53:D92),0)</f>
        <v>0</v>
      </c>
      <c r="F93" s="292" t="n">
        <f aca="false">IFERROR(SUM(F53:F92),0)</f>
        <v>0</v>
      </c>
      <c r="G93" s="292" t="n">
        <f aca="false">IFERROR(SUM(G53:G92),0)</f>
        <v>0</v>
      </c>
    </row>
    <row r="94" customFormat="false" ht="15" hidden="false" customHeight="true" outlineLevel="0" collapsed="false">
      <c r="A94" s="1" t="s">
        <v>1096</v>
      </c>
    </row>
    <row r="95" customFormat="false" ht="15" hidden="false" customHeight="true" outlineLevel="0" collapsed="false">
      <c r="A95" s="1" t="s">
        <v>1097</v>
      </c>
    </row>
    <row r="96" customFormat="false" ht="15" hidden="false" customHeight="true" outlineLevel="0" collapsed="false">
      <c r="A96" s="72" t="s">
        <v>1098</v>
      </c>
      <c r="B96" s="293" t="n">
        <f aca="false">SUM(Actuals!C112:N112)</f>
        <v>-1889927.29</v>
      </c>
      <c r="C96" s="294"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94"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94"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94"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94"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94"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94"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94"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94"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94"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94"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94"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94"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94"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94"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94"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94"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94"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94"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94"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94"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94"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94"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94"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94"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94"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94"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94"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94"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94"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94"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94"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94"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94"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94"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94"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94"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94"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94"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94"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94"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94"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94"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94"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94"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94"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94"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94"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94"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94"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94"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94"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94"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94"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94"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94"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94"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94"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94"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94"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94"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94"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94"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94"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94"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94"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94"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94"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94"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94"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94"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94"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94"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94"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94"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94"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94"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94"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94"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94"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94"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94"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94"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94"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94"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94"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94"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94"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94"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94"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94"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94"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94"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94"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94"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94"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94"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94"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94"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94"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94"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94"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94"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94"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94"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94"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94"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94"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1099</v>
      </c>
      <c r="C97" s="294"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94"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94"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94"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94"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94"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94"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94"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94"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94"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94"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94"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94"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94"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94"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94"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94"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94"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94"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94"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94"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94"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94"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94"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94"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94"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94"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94"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94"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94"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94"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94"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94"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94"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94"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94"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94"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94"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94"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94"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94"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94"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94"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94"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94"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94"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94"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94"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94"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94"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94"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94"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94"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94"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94"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94"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94"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94"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94"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94"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94"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94"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94"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94"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94"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94"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94"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94"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94"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94"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94"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94"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94"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94"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94"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94"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94"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94"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94"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94"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94"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94"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94"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94"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94"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94"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94"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94"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94"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94"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94"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94"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94"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94"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94"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94"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94"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94"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94"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94"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94"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94"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94"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94"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94"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94"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94"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94"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1100</v>
      </c>
      <c r="C98" s="295" t="n">
        <f aca="false">IFERROR((C97-C96)/(Model!B199-(Model!B196)),0)</f>
        <v>0</v>
      </c>
      <c r="D98" s="295" t="n">
        <f aca="false">IFERROR((D97-D96)/(Model!C199-(Model!C196)),0)</f>
        <v>-0</v>
      </c>
      <c r="E98" s="295" t="n">
        <f aca="false">IFERROR((E97-E96)/(Model!D199-(Model!D196)),0)</f>
        <v>0</v>
      </c>
      <c r="F98" s="295" t="n">
        <f aca="false">IFERROR((F97-F96)/(Model!E199-(Model!E196)),0)</f>
        <v>0</v>
      </c>
      <c r="G98" s="295" t="n">
        <f aca="false">IFERROR((G97-G96)/(Model!F199-(Model!F196)),0)</f>
        <v>0</v>
      </c>
      <c r="H98" s="295" t="n">
        <f aca="false">IFERROR((H97-H96)/(Model!G199-(Model!G196)),0)</f>
        <v>0</v>
      </c>
      <c r="I98" s="295" t="n">
        <f aca="false">IFERROR((I97-I96)/(Model!H199-(Model!H196)),0)</f>
        <v>0</v>
      </c>
      <c r="J98" s="295" t="n">
        <f aca="false">IFERROR((J97-J96)/(Model!I199-(Model!I196)),0)</f>
        <v>0</v>
      </c>
      <c r="K98" s="295" t="n">
        <f aca="false">IFERROR((K97-K96)/(Model!J199-(Model!J196)),0)</f>
        <v>0</v>
      </c>
      <c r="L98" s="295" t="n">
        <f aca="false">IFERROR((L97-L96)/(Model!K199-(Model!K196)),0)</f>
        <v>0</v>
      </c>
      <c r="M98" s="295" t="n">
        <f aca="false">IFERROR((M97-M96)/(Model!L199-(Model!L196)),0)</f>
        <v>0</v>
      </c>
      <c r="N98" s="295" t="n">
        <f aca="false">IFERROR((N97-N96)/(Model!M199-(Model!M196)),0)</f>
        <v>0</v>
      </c>
      <c r="O98" s="295" t="n">
        <f aca="false">IFERROR((O97-O96)/(Model!N199-(Model!N196)),0)</f>
        <v>0</v>
      </c>
      <c r="P98" s="295" t="n">
        <f aca="false">IFERROR((P97-P96)/(Model!O199-(Model!O196)),0)</f>
        <v>0</v>
      </c>
      <c r="Q98" s="295" t="n">
        <f aca="false">IFERROR((Q97-Q96)/(Model!P199-(Model!P196)),0)</f>
        <v>0</v>
      </c>
      <c r="R98" s="295" t="n">
        <f aca="false">IFERROR((R97-R96)/(Model!Q199-(Model!Q196)),0)</f>
        <v>0</v>
      </c>
      <c r="S98" s="295" t="n">
        <f aca="false">IFERROR((S97-S96)/(Model!R199-(Model!R196)),0)</f>
        <v>0</v>
      </c>
      <c r="T98" s="295" t="n">
        <f aca="false">IFERROR((T97-T96)/(Model!S199-(Model!S196)),0)</f>
        <v>0</v>
      </c>
      <c r="U98" s="295" t="n">
        <f aca="false">IFERROR((U97-U96)/(Model!T199-(Model!T196)),0)</f>
        <v>0</v>
      </c>
      <c r="V98" s="295" t="n">
        <f aca="false">IFERROR((V97-V96)/(Model!U199-(Model!U196)),0)</f>
        <v>0</v>
      </c>
      <c r="W98" s="295" t="n">
        <f aca="false">IFERROR((W97-W96)/(Model!V199-(Model!V196)),0)</f>
        <v>0</v>
      </c>
      <c r="X98" s="295" t="n">
        <f aca="false">IFERROR((X97-X96)/(Model!W199-(Model!W196)),0)</f>
        <v>0</v>
      </c>
      <c r="Y98" s="295" t="n">
        <f aca="false">IFERROR((Y97-Y96)/(Model!X199-(Model!X196)),0)</f>
        <v>0</v>
      </c>
      <c r="Z98" s="295" t="n">
        <f aca="false">IFERROR((Z97-Z96)/(Model!Y199-(Model!Y196)),0)</f>
        <v>0</v>
      </c>
      <c r="AA98" s="295" t="n">
        <f aca="false">IFERROR((AA97-AA96)/(Model!Z199-(Model!Z196)),0)</f>
        <v>0</v>
      </c>
      <c r="AB98" s="295" t="n">
        <f aca="false">IFERROR((AB97-AB96)/(Model!AA199-(Model!AA196)),0)</f>
        <v>0</v>
      </c>
      <c r="AC98" s="295" t="n">
        <f aca="false">IFERROR((AC97-AC96)/(Model!AB199-(Model!AB196)),0)</f>
        <v>0</v>
      </c>
      <c r="AD98" s="295" t="n">
        <f aca="false">IFERROR((AD97-AD96)/(Model!AC199-(Model!AC196)),0)</f>
        <v>0</v>
      </c>
      <c r="AE98" s="295" t="n">
        <f aca="false">IFERROR((AE97-AE96)/(Model!AD199-(Model!AD196)),0)</f>
        <v>0</v>
      </c>
      <c r="AF98" s="295" t="n">
        <f aca="false">IFERROR((AF97-AF96)/(Model!AE199-(Model!AE196)),0)</f>
        <v>0</v>
      </c>
      <c r="AG98" s="295" t="n">
        <f aca="false">IFERROR((AG97-AG96)/(Model!AF199-(Model!AF196)),0)</f>
        <v>0</v>
      </c>
      <c r="AH98" s="295" t="n">
        <f aca="false">IFERROR((AH97-AH96)/(Model!AG199-(Model!AG196)),0)</f>
        <v>0</v>
      </c>
      <c r="AI98" s="295" t="n">
        <f aca="false">IFERROR((AI97-AI96)/(Model!AH199-(Model!AH196)),0)</f>
        <v>0</v>
      </c>
      <c r="AJ98" s="295" t="n">
        <f aca="false">IFERROR((AJ97-AJ96)/(Model!AI199-(Model!AI196)),0)</f>
        <v>0</v>
      </c>
      <c r="AK98" s="295" t="n">
        <f aca="false">IFERROR((AK97-AK96)/(Model!AJ199-(Model!AJ196)),0)</f>
        <v>0</v>
      </c>
      <c r="AL98" s="295" t="n">
        <f aca="false">IFERROR((AL97-AL96)/(Model!AK199-(Model!AK196)),0)</f>
        <v>0</v>
      </c>
      <c r="AM98" s="295" t="n">
        <f aca="false">IFERROR((AM97-AM96)/(Model!AL199-(Model!AL196)),0)</f>
        <v>0</v>
      </c>
      <c r="AN98" s="295" t="n">
        <f aca="false">IFERROR((AN97-AN96)/(Model!AM199-(Model!AM196)),0)</f>
        <v>0</v>
      </c>
      <c r="AO98" s="295" t="n">
        <f aca="false">IFERROR((AO97-AO96)/(Model!AN199-(Model!AN196)),0)</f>
        <v>0</v>
      </c>
      <c r="AP98" s="295" t="n">
        <f aca="false">IFERROR((AP97-AP96)/(Model!AO199-(Model!AO196)),0)</f>
        <v>0</v>
      </c>
      <c r="AQ98" s="295" t="n">
        <f aca="false">IFERROR((AQ97-AQ96)/(Model!AP199-(Model!AP196)),0)</f>
        <v>0</v>
      </c>
      <c r="AR98" s="295" t="n">
        <f aca="false">IFERROR((AR97-AR96)/(Model!AQ199-(Model!AQ196)),0)</f>
        <v>0</v>
      </c>
      <c r="AS98" s="295" t="n">
        <f aca="false">IFERROR((AS97-AS96)/(Model!AR199-(Model!AR196)),0)</f>
        <v>0</v>
      </c>
      <c r="AT98" s="295" t="n">
        <f aca="false">IFERROR((AT97-AT96)/(Model!AS199-(Model!AS196)),0)</f>
        <v>0</v>
      </c>
      <c r="AU98" s="295" t="n">
        <f aca="false">IFERROR((AU97-AU96)/(Model!AT199-(Model!AT196)),0)</f>
        <v>0</v>
      </c>
      <c r="AV98" s="295" t="n">
        <f aca="false">IFERROR((AV97-AV96)/(Model!AU199-(Model!AU196)),0)</f>
        <v>0</v>
      </c>
      <c r="AW98" s="295" t="n">
        <f aca="false">IFERROR((AW97-AW96)/(Model!AV199-(Model!AV196)),0)</f>
        <v>0</v>
      </c>
      <c r="AX98" s="295" t="n">
        <f aca="false">IFERROR((AX97-AX96)/(Model!AW199-(Model!AW196)),0)</f>
        <v>0</v>
      </c>
      <c r="AY98" s="295" t="n">
        <f aca="false">IFERROR((AY97-AY96)/(Model!AX199-(Model!AX196)),0)</f>
        <v>0</v>
      </c>
      <c r="AZ98" s="295" t="n">
        <f aca="false">IFERROR((AZ97-AZ96)/(Model!AY199-(Model!AY196)),0)</f>
        <v>0</v>
      </c>
      <c r="BA98" s="295" t="n">
        <f aca="false">IFERROR((BA97-BA96)/(Model!AZ199-(Model!AZ196)),0)</f>
        <v>0</v>
      </c>
      <c r="BB98" s="295" t="n">
        <f aca="false">IFERROR((BB97-BB96)/(Model!BA199-(Model!BA196)),0)</f>
        <v>0</v>
      </c>
      <c r="BC98" s="295" t="n">
        <f aca="false">IFERROR((BC97-BC96)/(Model!BB199-(Model!BB196)),0)</f>
        <v>0</v>
      </c>
      <c r="BD98" s="295" t="n">
        <f aca="false">IFERROR((BD97-BD96)/(Model!BC199-(Model!BC196)),0)</f>
        <v>0</v>
      </c>
      <c r="BE98" s="295" t="n">
        <f aca="false">IFERROR((BE97-BE96)/(Model!BD199-(Model!BD196)),0)</f>
        <v>0</v>
      </c>
      <c r="BF98" s="295" t="n">
        <f aca="false">IFERROR((BF97-BF96)/(Model!BE199-(Model!BE196)),0)</f>
        <v>0</v>
      </c>
      <c r="BG98" s="295" t="n">
        <f aca="false">IFERROR((BG97-BG96)/(Model!BF199-(Model!BF196)),0)</f>
        <v>0</v>
      </c>
      <c r="BH98" s="295" t="n">
        <f aca="false">IFERROR((BH97-BH96)/(Model!BG199-(Model!BG196)),0)</f>
        <v>0</v>
      </c>
      <c r="BI98" s="295" t="n">
        <f aca="false">IFERROR((BI97-BI96)/(Model!BH199-(Model!BH196)),0)</f>
        <v>0</v>
      </c>
      <c r="BJ98" s="295" t="n">
        <f aca="false">IFERROR((BJ97-BJ96)/(Model!BI199-(Model!BI196)),0)</f>
        <v>0</v>
      </c>
      <c r="BK98" s="295" t="n">
        <f aca="false">IFERROR((BK97-BK96)/(Model!BJ199-(Model!BJ196)),0)</f>
        <v>0</v>
      </c>
      <c r="BL98" s="295" t="n">
        <f aca="false">IFERROR((BL97-BL96)/(Model!BK199-(Model!BK196)),0)</f>
        <v>0</v>
      </c>
      <c r="BM98" s="295" t="n">
        <f aca="false">IFERROR((BM97-BM96)/(Model!BL199-(Model!BL196)),0)</f>
        <v>0</v>
      </c>
      <c r="BN98" s="295" t="n">
        <f aca="false">IFERROR((BN97-BN96)/(Model!BM199-(Model!BM196)),0)</f>
        <v>0</v>
      </c>
      <c r="BO98" s="295" t="n">
        <f aca="false">IFERROR((BO97-BO96)/(Model!BN199-(Model!BN196)),0)</f>
        <v>0</v>
      </c>
      <c r="BP98" s="295" t="n">
        <f aca="false">IFERROR((BP97-BP96)/(Model!BO199-(Model!BO196)),0)</f>
        <v>0</v>
      </c>
      <c r="BQ98" s="295" t="n">
        <f aca="false">IFERROR((BQ97-BQ96)/(Model!BP199-(Model!BP196)),0)</f>
        <v>0</v>
      </c>
      <c r="BR98" s="295" t="n">
        <f aca="false">IFERROR((BR97-BR96)/(Model!BQ199-(Model!BQ196)),0)</f>
        <v>0</v>
      </c>
      <c r="BS98" s="295" t="n">
        <f aca="false">IFERROR((BS97-BS96)/(Model!BR199-(Model!BR196)),0)</f>
        <v>0</v>
      </c>
      <c r="BT98" s="295" t="n">
        <f aca="false">IFERROR((BT97-BT96)/(Model!BS199-(Model!BS196)),0)</f>
        <v>0</v>
      </c>
      <c r="BU98" s="295" t="n">
        <f aca="false">IFERROR((BU97-BU96)/(Model!BT199-(Model!BT196)),0)</f>
        <v>0</v>
      </c>
      <c r="BV98" s="295" t="n">
        <f aca="false">IFERROR((BV97-BV96)/(Model!BU199-(Model!BU196)),0)</f>
        <v>0</v>
      </c>
      <c r="BW98" s="295" t="n">
        <f aca="false">IFERROR((BW97-BW96)/(Model!BV199-(Model!BV196)),0)</f>
        <v>0</v>
      </c>
      <c r="BX98" s="295" t="n">
        <f aca="false">IFERROR((BX97-BX96)/(Model!BW199-(Model!BW196)),0)</f>
        <v>0</v>
      </c>
      <c r="BY98" s="295" t="n">
        <f aca="false">IFERROR((BY97-BY96)/(Model!BX199-(Model!BX196)),0)</f>
        <v>0</v>
      </c>
      <c r="BZ98" s="295" t="n">
        <f aca="false">IFERROR((BZ97-BZ96)/(Model!BY199-(Model!BY196)),0)</f>
        <v>0</v>
      </c>
      <c r="CA98" s="295" t="n">
        <f aca="false">IFERROR((CA97-CA96)/(Model!BZ199-(Model!BZ196)),0)</f>
        <v>0</v>
      </c>
      <c r="CB98" s="295" t="n">
        <f aca="false">IFERROR((CB97-CB96)/(Model!CA199-(Model!CA196)),0)</f>
        <v>0</v>
      </c>
      <c r="CC98" s="295" t="n">
        <f aca="false">IFERROR((CC97-CC96)/(Model!CB199-(Model!CB196)),0)</f>
        <v>0</v>
      </c>
      <c r="CD98" s="295" t="n">
        <f aca="false">IFERROR((CD97-CD96)/(Model!CC199-(Model!CC196)),0)</f>
        <v>0</v>
      </c>
      <c r="CE98" s="295" t="n">
        <f aca="false">IFERROR((CE97-CE96)/(Model!CD199-(Model!CD196)),0)</f>
        <v>0</v>
      </c>
      <c r="CF98" s="295" t="n">
        <f aca="false">IFERROR((CF97-CF96)/(Model!CE199-(Model!CE196)),0)</f>
        <v>0</v>
      </c>
      <c r="CG98" s="295" t="n">
        <f aca="false">IFERROR((CG97-CG96)/(Model!CF199-(Model!CF196)),0)</f>
        <v>0</v>
      </c>
      <c r="CH98" s="295" t="n">
        <f aca="false">IFERROR((CH97-CH96)/(Model!CG199-(Model!CG196)),0)</f>
        <v>0</v>
      </c>
      <c r="CI98" s="295" t="n">
        <f aca="false">IFERROR((CI97-CI96)/(Model!CH199-(Model!CH196)),0)</f>
        <v>0</v>
      </c>
      <c r="CJ98" s="295" t="n">
        <f aca="false">IFERROR((CJ97-CJ96)/(Model!CI199-(Model!CI196)),0)</f>
        <v>0</v>
      </c>
      <c r="CK98" s="295" t="n">
        <f aca="false">IFERROR((CK97-CK96)/(Model!CJ199-(Model!CJ196)),0)</f>
        <v>0</v>
      </c>
      <c r="CL98" s="295" t="n">
        <f aca="false">IFERROR((CL97-CL96)/(Model!CK199-(Model!CK196)),0)</f>
        <v>0</v>
      </c>
      <c r="CM98" s="295" t="n">
        <f aca="false">IFERROR((CM97-CM96)/(Model!CL199-(Model!CL196)),0)</f>
        <v>0</v>
      </c>
      <c r="CN98" s="295" t="n">
        <f aca="false">IFERROR((CN97-CN96)/(Model!CM199-(Model!CM196)),0)</f>
        <v>0</v>
      </c>
      <c r="CO98" s="295" t="n">
        <f aca="false">IFERROR((CO97-CO96)/(Model!CN199-(Model!CN196)),0)</f>
        <v>0</v>
      </c>
      <c r="CP98" s="295" t="n">
        <f aca="false">IFERROR((CP97-CP96)/(Model!CO199-(Model!CO196)),0)</f>
        <v>0</v>
      </c>
      <c r="CQ98" s="295" t="n">
        <f aca="false">IFERROR((CQ97-CQ96)/(Model!CP199-(Model!CP196)),0)</f>
        <v>0</v>
      </c>
      <c r="CR98" s="295" t="n">
        <f aca="false">IFERROR((CR97-CR96)/(Model!CQ199-(Model!CQ196)),0)</f>
        <v>0</v>
      </c>
      <c r="CS98" s="295" t="n">
        <f aca="false">IFERROR((CS97-CS96)/(Model!CR199-(Model!CR196)),0)</f>
        <v>0</v>
      </c>
      <c r="CT98" s="295" t="n">
        <f aca="false">IFERROR((CT97-CT96)/(Model!CS199-(Model!CS196)),0)</f>
        <v>0</v>
      </c>
      <c r="CU98" s="295" t="n">
        <f aca="false">IFERROR((CU97-CU96)/(Model!CT199-(Model!CT196)),0)</f>
        <v>0</v>
      </c>
      <c r="CV98" s="295" t="n">
        <f aca="false">IFERROR((CV97-CV96)/(Model!CU199-(Model!CU196)),0)</f>
        <v>0</v>
      </c>
      <c r="CW98" s="295" t="n">
        <f aca="false">IFERROR((CW97-CW96)/(Model!CV199-(Model!CV196)),0)</f>
        <v>0</v>
      </c>
      <c r="CX98" s="295" t="n">
        <f aca="false">IFERROR((CX97-CX96)/(Model!CW199-(Model!CW196)),0)</f>
        <v>0</v>
      </c>
      <c r="CY98" s="295" t="n">
        <f aca="false">IFERROR((CY97-CY96)/(Model!CX199-(Model!CX196)),0)</f>
        <v>0</v>
      </c>
      <c r="CZ98" s="295" t="n">
        <f aca="false">IFERROR((CZ97-CZ96)/(Model!CY199-(Model!CY196)),0)</f>
        <v>0</v>
      </c>
      <c r="DA98" s="295" t="n">
        <f aca="false">IFERROR((DA97-DA96)/(Model!CZ199-(Model!CZ196)),0)</f>
        <v>0</v>
      </c>
      <c r="DB98" s="295" t="n">
        <f aca="false">IFERROR((DB97-DB96)/(Model!DA199-(Model!DA196)),0)</f>
        <v>0</v>
      </c>
      <c r="DC98" s="295" t="n">
        <f aca="false">IFERROR((DC97-DC96)/(Model!DB199-(Model!DB196)),0)</f>
        <v>0</v>
      </c>
      <c r="DD98" s="295" t="n">
        <f aca="false">IFERROR((DD97-DD96)/(Model!DC199-(Model!DC196)),0)</f>
        <v>0</v>
      </c>
      <c r="DE98" s="295" t="n">
        <f aca="false">IFERROR((DE97-DE96)/(Model!DD199-(Model!DD196)),0)</f>
        <v>0</v>
      </c>
      <c r="DF98" s="295" t="n">
        <f aca="false">IFERROR((DF97-DF96)/(Model!DE199-(Model!DE196)),0)</f>
        <v>0</v>
      </c>
    </row>
    <row r="99" customFormat="false" ht="15" hidden="false" customHeight="true" outlineLevel="0" collapsed="false">
      <c r="A99" s="72" t="s">
        <v>1101</v>
      </c>
      <c r="B99" s="293" t="n">
        <f aca="false">SUM(Actuals!C17:N17)</f>
        <v>4987438.48</v>
      </c>
      <c r="C99" s="294" t="n">
        <f aca="false">Model!B199+SUM(Model!B203:B233)+Model!B235-(Model!B196)</f>
        <v>-41844.6399999999</v>
      </c>
      <c r="D99" s="294" t="n">
        <f aca="false">Model!C199+SUM(Model!C203:C233)+Model!C235-(Model!C196)</f>
        <v>-311309.31</v>
      </c>
      <c r="E99" s="294" t="n">
        <f aca="false">Model!D199+SUM(Model!D203:D233)+Model!D235-(Model!D196)</f>
        <v>242246.78</v>
      </c>
      <c r="F99" s="294" t="n">
        <f aca="false">Model!E199+SUM(Model!E203:E233)+Model!E235-(Model!E196)</f>
        <v>373926.69</v>
      </c>
      <c r="G99" s="294" t="n">
        <f aca="false">Model!F199+SUM(Model!F203:F233)+Model!F235-(Model!F196)</f>
        <v>27621.8500000002</v>
      </c>
      <c r="H99" s="294" t="n">
        <f aca="false">Model!G199+SUM(Model!G203:G233)+Model!G235-(Model!G196)</f>
        <v>318509.92</v>
      </c>
      <c r="I99" s="294" t="n">
        <f aca="false">Model!H199+SUM(Model!H203:H233)+Model!H235-(Model!H196)</f>
        <v>1446747.85</v>
      </c>
      <c r="J99" s="294" t="n">
        <f aca="false">Model!I199+SUM(Model!I203:I233)+Model!I235-(Model!I196)</f>
        <v>177182.13</v>
      </c>
      <c r="K99" s="294" t="n">
        <f aca="false">Model!J199+SUM(Model!J203:J233)+Model!J235-(Model!J196)</f>
        <v>-35254.7100000004</v>
      </c>
      <c r="L99" s="294" t="n">
        <f aca="false">Model!K199+SUM(Model!K203:K233)+Model!K235-(Model!K196)</f>
        <v>103378.790333334</v>
      </c>
      <c r="M99" s="294" t="n">
        <f aca="false">Model!L199+SUM(Model!L203:L233)+Model!L235-(Model!L196)</f>
        <v>52159.3503333338</v>
      </c>
      <c r="N99" s="294" t="n">
        <f aca="false">Model!M199+SUM(Model!M203:M233)+Model!M235-(Model!M196)</f>
        <v>35166.2903333338</v>
      </c>
      <c r="O99" s="294" t="n">
        <f aca="false">Model!N199+SUM(Model!N203:N233)+Model!N235-(Model!N196)</f>
        <v>240471.06871865</v>
      </c>
      <c r="P99" s="294" t="n">
        <f aca="false">Model!O199+SUM(Model!O203:O233)+Model!O235-(Model!O196)</f>
        <v>248763.335199601</v>
      </c>
      <c r="Q99" s="294" t="n">
        <f aca="false">Model!P199+SUM(Model!P203:P233)+Model!P235-(Model!P196)</f>
        <v>300112.9551996</v>
      </c>
      <c r="R99" s="294" t="n">
        <f aca="false">Model!Q199+SUM(Model!Q203:Q233)+Model!Q235-(Model!Q196)</f>
        <v>274669.6551996</v>
      </c>
      <c r="S99" s="294" t="n">
        <f aca="false">Model!R199+SUM(Model!R203:R233)+Model!R235-(Model!R196)</f>
        <v>261274.945199597</v>
      </c>
      <c r="T99" s="294" t="n">
        <f aca="false">Model!S199+SUM(Model!S203:S233)+Model!S235-(Model!S196)</f>
        <v>450614.938412752</v>
      </c>
      <c r="U99" s="294" t="n">
        <f aca="false">Model!T199+SUM(Model!T203:T233)+Model!T235-(Model!T196)</f>
        <v>576952.61841275</v>
      </c>
      <c r="V99" s="294" t="n">
        <f aca="false">Model!U199+SUM(Model!U203:U233)+Model!U235-(Model!U196)</f>
        <v>473250.558412751</v>
      </c>
      <c r="W99" s="294" t="n">
        <f aca="false">Model!V199+SUM(Model!V203:V233)+Model!V235-(Model!V196)</f>
        <v>559121.828412749</v>
      </c>
      <c r="X99" s="294" t="n">
        <f aca="false">Model!W199+SUM(Model!W203:W233)+Model!W235-(Model!W196)</f>
        <v>379966.998412748</v>
      </c>
      <c r="Y99" s="294" t="n">
        <f aca="false">Model!X199+SUM(Model!X203:X233)+Model!X235-(Model!X196)</f>
        <v>530630.958412751</v>
      </c>
      <c r="Z99" s="294" t="n">
        <f aca="false">Model!Y199+SUM(Model!Y203:Y233)+Model!Y235-(Model!Y196)</f>
        <v>147104.03841275</v>
      </c>
      <c r="AA99" s="294" t="n">
        <f aca="false">Model!Z199+SUM(Model!Z203:Z233)+Model!Z235-(Model!Z196)</f>
        <v>441837.339345058</v>
      </c>
      <c r="AB99" s="294" t="n">
        <f aca="false">Model!AA199+SUM(Model!AA203:AA233)+Model!AA235-(Model!AA196)</f>
        <v>373978.091652748</v>
      </c>
      <c r="AC99" s="294" t="n">
        <f aca="false">Model!AB199+SUM(Model!AB203:AB233)+Model!AB235-(Model!AB196)</f>
        <v>240883.169729673</v>
      </c>
      <c r="AD99" s="294" t="n">
        <f aca="false">Model!AC199+SUM(Model!AC203:AC233)+Model!AC235-(Model!AC196)</f>
        <v>166569.406652753</v>
      </c>
      <c r="AE99" s="294" t="n">
        <f aca="false">Model!AD199+SUM(Model!AD203:AD233)+Model!AD235-(Model!AD196)</f>
        <v>194174.794729674</v>
      </c>
      <c r="AF99" s="294" t="n">
        <f aca="false">Model!AE199+SUM(Model!AE203:AE233)+Model!AE235-(Model!AE196)</f>
        <v>207181.551652747</v>
      </c>
      <c r="AG99" s="294" t="n">
        <f aca="false">Model!AF199+SUM(Model!AF203:AF233)+Model!AF235-(Model!AF196)</f>
        <v>365565.678371402</v>
      </c>
      <c r="AH99" s="294" t="n">
        <f aca="false">Model!AG199+SUM(Model!AG203:AG233)+Model!AG235-(Model!AG196)</f>
        <v>298965.18141505</v>
      </c>
      <c r="AI99" s="294" t="n">
        <f aca="false">Model!AH199+SUM(Model!AH203:AH233)+Model!AH235-(Model!AH196)</f>
        <v>162629.698453149</v>
      </c>
      <c r="AJ99" s="294" t="n">
        <f aca="false">Model!AI199+SUM(Model!AI203:AI233)+Model!AI235-(Model!AI196)</f>
        <v>156565.988453155</v>
      </c>
      <c r="AK99" s="294" t="n">
        <f aca="false">Model!AJ199+SUM(Model!AJ203:AJ233)+Model!AJ235-(Model!AJ196)</f>
        <v>35992.0584531465</v>
      </c>
      <c r="AL99" s="294" t="n">
        <f aca="false">Model!AK199+SUM(Model!AK203:AK233)+Model!AK235-(Model!AK196)</f>
        <v>-188597.65154685</v>
      </c>
      <c r="AM99" s="294" t="n">
        <f aca="false">Model!AL199+SUM(Model!AL203:AL233)+Model!AL235-(Model!AL196)</f>
        <v>18153.3785579512</v>
      </c>
      <c r="AN99" s="294" t="n">
        <f aca="false">Model!AM199+SUM(Model!AM203:AM233)+Model!AM235-(Model!AM196)</f>
        <v>29836.4185579489</v>
      </c>
      <c r="AO99" s="294" t="n">
        <f aca="false">Model!AN199+SUM(Model!AN203:AN233)+Model!AN235-(Model!AN196)</f>
        <v>-76831.0914420523</v>
      </c>
      <c r="AP99" s="294" t="n">
        <f aca="false">Model!AO199+SUM(Model!AO203:AO233)+Model!AO235-(Model!AO196)</f>
        <v>-116091.83144205</v>
      </c>
      <c r="AQ99" s="294" t="n">
        <f aca="false">Model!AP199+SUM(Model!AP203:AP233)+Model!AP235-(Model!AP196)</f>
        <v>16776.7653864976</v>
      </c>
      <c r="AR99" s="294" t="n">
        <f aca="false">Model!AQ199+SUM(Model!AQ203:AQ233)+Model!AQ235-(Model!AQ196)</f>
        <v>-221279.470597983</v>
      </c>
      <c r="AS99" s="294" t="n">
        <f aca="false">Model!AR199+SUM(Model!AR203:AR233)+Model!AR235-(Model!AR196)</f>
        <v>-221279.470597983</v>
      </c>
      <c r="AT99" s="294" t="n">
        <f aca="false">Model!AS199+SUM(Model!AS203:AS233)+Model!AS235-(Model!AS196)</f>
        <v>-221279.470597983</v>
      </c>
      <c r="AU99" s="294" t="n">
        <f aca="false">Model!AT199+SUM(Model!AT203:AT233)+Model!AT235-(Model!AT196)</f>
        <v>-221279.470597983</v>
      </c>
      <c r="AV99" s="294" t="n">
        <f aca="false">Model!AU199+SUM(Model!AU203:AU233)+Model!AU235-(Model!AU196)</f>
        <v>-221279.470597983</v>
      </c>
      <c r="AW99" s="294" t="n">
        <f aca="false">Model!AV199+SUM(Model!AV203:AV233)+Model!AV235-(Model!AV196)</f>
        <v>51206.1147555166</v>
      </c>
      <c r="AX99" s="294" t="n">
        <f aca="false">Model!AW199+SUM(Model!AW203:AW233)+Model!AW235-(Model!AW196)</f>
        <v>-593853.6746552</v>
      </c>
      <c r="AY99" s="294" t="n">
        <f aca="false">Model!AX199+SUM(Model!AX203:AX233)+Model!AX235-(Model!AX196)</f>
        <v>-401319.748148304</v>
      </c>
      <c r="AZ99" s="294" t="n">
        <f aca="false">Model!AY199+SUM(Model!AY203:AY233)+Model!AY235-(Model!AY196)</f>
        <v>-401319.748148304</v>
      </c>
      <c r="BA99" s="294" t="n">
        <f aca="false">Model!AZ199+SUM(Model!AZ203:AZ233)+Model!AZ235-(Model!AZ196)</f>
        <v>-401319.748148304</v>
      </c>
      <c r="BB99" s="294" t="n">
        <f aca="false">Model!BA199+SUM(Model!BA203:BA233)+Model!BA235-(Model!BA196)</f>
        <v>-401319.748148304</v>
      </c>
      <c r="BC99" s="294" t="n">
        <f aca="false">Model!BB199+SUM(Model!BB203:BB233)+Model!BB235-(Model!BB196)</f>
        <v>-401319.748148304</v>
      </c>
      <c r="BD99" s="294" t="n">
        <f aca="false">Model!BC199+SUM(Model!BC203:BC233)+Model!BC235-(Model!BC196)</f>
        <v>-401319.748148304</v>
      </c>
      <c r="BE99" s="294" t="n">
        <f aca="false">Model!BD199+SUM(Model!BD203:BD233)+Model!BD235-(Model!BD196)</f>
        <v>-401319.748148304</v>
      </c>
      <c r="BF99" s="294" t="n">
        <f aca="false">Model!BE199+SUM(Model!BE203:BE233)+Model!BE235-(Model!BE196)</f>
        <v>-401319.748148304</v>
      </c>
      <c r="BG99" s="294" t="n">
        <f aca="false">Model!BF199+SUM(Model!BF203:BF233)+Model!BF235-(Model!BF196)</f>
        <v>-401319.748148304</v>
      </c>
      <c r="BH99" s="294" t="n">
        <f aca="false">Model!BG199+SUM(Model!BG203:BG233)+Model!BG235-(Model!BG196)</f>
        <v>-401319.748148304</v>
      </c>
      <c r="BI99" s="294" t="n">
        <f aca="false">Model!BH199+SUM(Model!BH203:BH233)+Model!BH235-(Model!BH196)</f>
        <v>-401319.748148304</v>
      </c>
      <c r="BJ99" s="294" t="n">
        <f aca="false">Model!BI199+SUM(Model!BI203:BI233)+Model!BI235-(Model!BI196)</f>
        <v>-601319.748148304</v>
      </c>
      <c r="BK99" s="294" t="n">
        <f aca="false">Model!BJ199+SUM(Model!BJ203:BJ233)+Model!BJ235-(Model!BJ196)</f>
        <v>-408935.14311127</v>
      </c>
      <c r="BL99" s="294" t="n">
        <f aca="false">Model!BK199+SUM(Model!BK203:BK233)+Model!BK235-(Model!BK196)</f>
        <v>-408935.14311127</v>
      </c>
      <c r="BM99" s="294" t="n">
        <f aca="false">Model!BL199+SUM(Model!BL203:BL233)+Model!BL235-(Model!BL196)</f>
        <v>-408935.14311127</v>
      </c>
      <c r="BN99" s="294" t="n">
        <f aca="false">Model!BM199+SUM(Model!BM203:BM233)+Model!BM235-(Model!BM196)</f>
        <v>-408935.14311127</v>
      </c>
      <c r="BO99" s="294" t="n">
        <f aca="false">Model!BN199+SUM(Model!BN203:BN233)+Model!BN235-(Model!BN196)</f>
        <v>-408935.14311127</v>
      </c>
      <c r="BP99" s="294" t="n">
        <f aca="false">Model!BO199+SUM(Model!BO203:BO233)+Model!BO235-(Model!BO196)</f>
        <v>-408935.14311127</v>
      </c>
      <c r="BQ99" s="294" t="n">
        <f aca="false">Model!BP199+SUM(Model!BP203:BP233)+Model!BP235-(Model!BP196)</f>
        <v>-408935.14311127</v>
      </c>
      <c r="BR99" s="294" t="n">
        <f aca="false">Model!BQ199+SUM(Model!BQ203:BQ233)+Model!BQ235-(Model!BQ196)</f>
        <v>-408935.14311127</v>
      </c>
      <c r="BS99" s="294" t="n">
        <f aca="false">Model!BR199+SUM(Model!BR203:BR233)+Model!BR235-(Model!BR196)</f>
        <v>-408935.14311127</v>
      </c>
      <c r="BT99" s="294" t="n">
        <f aca="false">Model!BS199+SUM(Model!BS203:BS233)+Model!BS235-(Model!BS196)</f>
        <v>-408935.14311127</v>
      </c>
      <c r="BU99" s="294" t="n">
        <f aca="false">Model!BT199+SUM(Model!BT203:BT233)+Model!BT235-(Model!BT196)</f>
        <v>-408935.14311127</v>
      </c>
      <c r="BV99" s="294" t="n">
        <f aca="false">Model!BU199+SUM(Model!BU203:BU233)+Model!BU235-(Model!BU196)</f>
        <v>-608935.14311127</v>
      </c>
      <c r="BW99" s="294" t="n">
        <f aca="false">Model!BV199+SUM(Model!BV203:BV233)+Model!BV235-(Model!BV196)</f>
        <v>-416702.845973495</v>
      </c>
      <c r="BX99" s="294" t="n">
        <f aca="false">Model!BW199+SUM(Model!BW203:BW233)+Model!BW235-(Model!BW196)</f>
        <v>-416702.845973495</v>
      </c>
      <c r="BY99" s="294" t="n">
        <f aca="false">Model!BX199+SUM(Model!BX203:BX233)+Model!BX235-(Model!BX196)</f>
        <v>-416702.845973495</v>
      </c>
      <c r="BZ99" s="294" t="n">
        <f aca="false">Model!BY199+SUM(Model!BY203:BY233)+Model!BY235-(Model!BY196)</f>
        <v>-416702.845973495</v>
      </c>
      <c r="CA99" s="294" t="n">
        <f aca="false">Model!BZ199+SUM(Model!BZ203:BZ233)+Model!BZ235-(Model!BZ196)</f>
        <v>-416702.845973495</v>
      </c>
      <c r="CB99" s="294" t="n">
        <f aca="false">Model!CA199+SUM(Model!CA203:CA233)+Model!CA235-(Model!CA196)</f>
        <v>-416702.845973495</v>
      </c>
      <c r="CC99" s="294" t="n">
        <f aca="false">Model!CB199+SUM(Model!CB203:CB233)+Model!CB235-(Model!CB196)</f>
        <v>-416702.845973495</v>
      </c>
      <c r="CD99" s="294" t="n">
        <f aca="false">Model!CC199+SUM(Model!CC203:CC233)+Model!CC235-(Model!CC196)</f>
        <v>-416702.845973495</v>
      </c>
      <c r="CE99" s="294" t="n">
        <f aca="false">Model!CD199+SUM(Model!CD203:CD233)+Model!CD235-(Model!CD196)</f>
        <v>-416702.845973495</v>
      </c>
      <c r="CF99" s="294" t="n">
        <f aca="false">Model!CE199+SUM(Model!CE203:CE233)+Model!CE235-(Model!CE196)</f>
        <v>-416702.845973495</v>
      </c>
      <c r="CG99" s="294" t="n">
        <f aca="false">Model!CF199+SUM(Model!CF203:CF233)+Model!CF235-(Model!CF196)</f>
        <v>-416702.845973495</v>
      </c>
      <c r="CH99" s="294" t="n">
        <f aca="false">Model!CG199+SUM(Model!CG203:CG233)+Model!CG235-(Model!CG196)</f>
        <v>-616702.845973496</v>
      </c>
      <c r="CI99" s="294" t="n">
        <f aca="false">Model!CH199+SUM(Model!CH203:CH233)+Model!CH235-(Model!CH196)</f>
        <v>-424625.902892966</v>
      </c>
      <c r="CJ99" s="294" t="n">
        <f aca="false">Model!CI199+SUM(Model!CI203:CI233)+Model!CI235-(Model!CI196)</f>
        <v>-424625.902892966</v>
      </c>
      <c r="CK99" s="294" t="n">
        <f aca="false">Model!CJ199+SUM(Model!CJ203:CJ233)+Model!CJ235-(Model!CJ196)</f>
        <v>-424625.902892966</v>
      </c>
      <c r="CL99" s="294" t="n">
        <f aca="false">Model!CK199+SUM(Model!CK203:CK233)+Model!CK235-(Model!CK196)</f>
        <v>-424625.902892966</v>
      </c>
      <c r="CM99" s="294" t="n">
        <f aca="false">Model!CL199+SUM(Model!CL203:CL233)+Model!CL235-(Model!CL196)</f>
        <v>-424625.902892966</v>
      </c>
      <c r="CN99" s="294" t="n">
        <f aca="false">Model!CM199+SUM(Model!CM203:CM233)+Model!CM235-(Model!CM196)</f>
        <v>-424625.902892966</v>
      </c>
      <c r="CO99" s="294" t="n">
        <f aca="false">Model!CN199+SUM(Model!CN203:CN233)+Model!CN235-(Model!CN196)</f>
        <v>-424625.902892966</v>
      </c>
      <c r="CP99" s="294" t="n">
        <f aca="false">Model!CO199+SUM(Model!CO203:CO233)+Model!CO235-(Model!CO196)</f>
        <v>-424625.902892966</v>
      </c>
      <c r="CQ99" s="294" t="n">
        <f aca="false">Model!CP199+SUM(Model!CP203:CP233)+Model!CP235-(Model!CP196)</f>
        <v>-424625.902892966</v>
      </c>
      <c r="CR99" s="294" t="n">
        <f aca="false">Model!CQ199+SUM(Model!CQ203:CQ233)+Model!CQ235-(Model!CQ196)</f>
        <v>-424625.902892966</v>
      </c>
      <c r="CS99" s="294" t="n">
        <f aca="false">Model!CR199+SUM(Model!CR203:CR233)+Model!CR235-(Model!CR196)</f>
        <v>-424625.902892966</v>
      </c>
      <c r="CT99" s="294" t="n">
        <f aca="false">Model!CS199+SUM(Model!CS203:CS233)+Model!CS235-(Model!CS196)</f>
        <v>-624625.902892965</v>
      </c>
      <c r="CU99" s="294" t="n">
        <f aca="false">Model!CT199+SUM(Model!CT203:CT233)+Model!CT235-(Model!CT196)</f>
        <v>-392165.313083151</v>
      </c>
      <c r="CV99" s="294" t="n">
        <f aca="false">Model!CU199+SUM(Model!CU203:CU233)+Model!CU235-(Model!CU196)</f>
        <v>-392165.313083151</v>
      </c>
      <c r="CW99" s="294" t="n">
        <f aca="false">Model!CV199+SUM(Model!CV203:CV233)+Model!CV235-(Model!CV196)</f>
        <v>-392165.313083151</v>
      </c>
      <c r="CX99" s="294" t="n">
        <f aca="false">Model!CW199+SUM(Model!CW203:CW233)+Model!CW235-(Model!CW196)</f>
        <v>-392165.313083151</v>
      </c>
      <c r="CY99" s="294" t="n">
        <f aca="false">Model!CX199+SUM(Model!CX203:CX233)+Model!CX235-(Model!CX196)</f>
        <v>-392165.313083151</v>
      </c>
      <c r="CZ99" s="294" t="n">
        <f aca="false">Model!CY199+SUM(Model!CY203:CY233)+Model!CY235-(Model!CY196)</f>
        <v>-392165.313083151</v>
      </c>
      <c r="DA99" s="294" t="n">
        <f aca="false">Model!CZ199+SUM(Model!CZ203:CZ233)+Model!CZ235-(Model!CZ196)</f>
        <v>-392165.313083151</v>
      </c>
      <c r="DB99" s="294" t="n">
        <f aca="false">Model!DA199+SUM(Model!DA203:DA233)+Model!DA235-(Model!DA196)</f>
        <v>-392165.313083151</v>
      </c>
      <c r="DC99" s="294" t="n">
        <f aca="false">Model!DB199+SUM(Model!DB203:DB233)+Model!DB235-(Model!DB196)</f>
        <v>-392165.313083151</v>
      </c>
      <c r="DD99" s="294" t="n">
        <f aca="false">Model!DC199+SUM(Model!DC203:DC233)+Model!DC235-(Model!DC196)</f>
        <v>-392165.313083151</v>
      </c>
      <c r="DE99" s="294" t="n">
        <f aca="false">Model!DD199+SUM(Model!DD203:DD233)+Model!DD235-(Model!DD196)</f>
        <v>-392165.313083151</v>
      </c>
      <c r="DF99" s="294" t="n">
        <f aca="false">Model!DE199+SUM(Model!DE203:DE233)+Model!DE235-(Model!DE196)</f>
        <v>-592165.313083151</v>
      </c>
    </row>
    <row r="100" customFormat="false" ht="15" hidden="false" customHeight="true" outlineLevel="0" collapsed="false">
      <c r="A100" s="72" t="s">
        <v>1102</v>
      </c>
      <c r="B100" s="293"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1103</v>
      </c>
      <c r="C101" s="296"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96"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96"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96"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96"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96"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96"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96"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96"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96"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96"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96"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96"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96"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96"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96"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96"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96"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96"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96"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96"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96"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96"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96"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96"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96"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96"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96"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96"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96"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96"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96"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96"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96"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96"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96"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96"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96"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96"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96"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96"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96"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96"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96"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96"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96"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96"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96"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96"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96"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96"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96"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96"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96"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96"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96"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96"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96"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96"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96"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96"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96"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96"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96"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96"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96"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96"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96"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96"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96"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96"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96"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96"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96"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96"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96"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96"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96"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96"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96"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96"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96"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96"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96"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96"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96"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96"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96"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96"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96"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96"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96"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96"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96"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96"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96"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96"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96"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96"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96"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96"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96"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96"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96"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96"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96"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96"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96"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30468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1104</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97"/>
      <c r="D2" s="297"/>
      <c r="E2" s="297"/>
      <c r="F2" s="297"/>
      <c r="G2" s="297"/>
      <c r="H2" s="297"/>
      <c r="I2" s="297"/>
      <c r="J2" s="297"/>
      <c r="K2" s="297"/>
      <c r="L2" s="297"/>
      <c r="M2" s="297"/>
      <c r="N2" s="297"/>
      <c r="O2" s="297"/>
      <c r="P2" s="297"/>
      <c r="Q2" s="297"/>
      <c r="R2" s="297"/>
      <c r="S2" s="297"/>
      <c r="T2" s="297"/>
      <c r="U2" s="297"/>
      <c r="V2" s="297"/>
      <c r="W2" s="297"/>
      <c r="X2" s="297"/>
      <c r="Y2" s="297"/>
      <c r="Z2" s="297"/>
      <c r="AA2" s="297"/>
      <c r="AB2" s="297"/>
      <c r="AC2" s="297"/>
      <c r="AD2" s="297"/>
      <c r="AE2" s="297"/>
      <c r="AF2" s="297"/>
      <c r="AG2" s="297"/>
      <c r="AH2" s="297"/>
      <c r="AI2" s="297"/>
      <c r="AJ2" s="297"/>
      <c r="AK2" s="297"/>
      <c r="AL2" s="297"/>
      <c r="AM2" s="297"/>
      <c r="AN2" s="297"/>
      <c r="AO2" s="297"/>
      <c r="AP2" s="297"/>
      <c r="AQ2" s="297"/>
      <c r="AR2" s="297"/>
      <c r="AS2" s="297"/>
      <c r="AT2" s="297"/>
      <c r="AU2" s="297"/>
      <c r="AV2" s="297"/>
      <c r="AW2" s="297"/>
      <c r="AX2" s="297"/>
      <c r="AY2" s="297"/>
      <c r="AZ2" s="297"/>
      <c r="BA2" s="297"/>
      <c r="BB2" s="297"/>
      <c r="BC2" s="297"/>
      <c r="BD2" s="297"/>
      <c r="BE2" s="297"/>
      <c r="BF2" s="297"/>
      <c r="BG2" s="297"/>
      <c r="BH2" s="297"/>
      <c r="BI2" s="297"/>
      <c r="BJ2" s="297"/>
      <c r="BK2" s="297"/>
      <c r="BL2" s="297"/>
      <c r="BM2" s="297"/>
      <c r="BN2" s="297"/>
      <c r="BO2" s="297"/>
      <c r="BP2" s="297"/>
      <c r="BQ2" s="297"/>
      <c r="BR2" s="297"/>
      <c r="BS2" s="297"/>
      <c r="BT2" s="297"/>
      <c r="BU2" s="297"/>
      <c r="BV2" s="297"/>
      <c r="BW2" s="297"/>
      <c r="BX2" s="297"/>
      <c r="BY2" s="297"/>
      <c r="BZ2" s="297"/>
      <c r="CA2" s="297"/>
      <c r="CB2" s="297"/>
      <c r="CC2" s="297"/>
      <c r="CD2" s="297"/>
      <c r="CE2" s="297"/>
      <c r="CF2" s="297"/>
      <c r="CG2" s="297"/>
      <c r="CH2" s="297"/>
    </row>
    <row r="3" customFormat="false" ht="15" hidden="false" customHeight="true" outlineLevel="0" collapsed="false">
      <c r="A3" s="298"/>
      <c r="B3" s="299" t="s">
        <v>1105</v>
      </c>
      <c r="C3" s="299" t="s">
        <v>1106</v>
      </c>
      <c r="D3" s="299" t="s">
        <v>1107</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91"/>
      <c r="C4" s="291"/>
      <c r="D4" s="291"/>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00" t="s">
        <v>12</v>
      </c>
      <c r="B5" s="301"/>
      <c r="C5" s="301"/>
      <c r="D5" s="301"/>
      <c r="E5" s="291"/>
      <c r="F5" s="291"/>
      <c r="G5" s="291"/>
      <c r="H5" s="291"/>
      <c r="I5" s="291"/>
      <c r="J5" s="291"/>
      <c r="K5" s="291"/>
      <c r="L5" s="291"/>
      <c r="M5" s="291"/>
      <c r="N5" s="291"/>
      <c r="O5" s="291"/>
      <c r="P5" s="291"/>
      <c r="Q5" s="291"/>
      <c r="R5" s="291"/>
      <c r="S5" s="291"/>
      <c r="T5" s="291"/>
      <c r="U5" s="291"/>
      <c r="V5" s="291"/>
      <c r="W5" s="291"/>
      <c r="X5" s="291"/>
      <c r="Y5" s="291"/>
      <c r="Z5" s="291"/>
      <c r="AA5" s="291"/>
      <c r="AB5" s="291"/>
      <c r="AC5" s="291"/>
      <c r="AD5" s="291"/>
      <c r="AE5" s="291"/>
      <c r="AF5" s="291"/>
      <c r="AG5" s="291"/>
      <c r="AH5" s="291"/>
      <c r="AI5" s="291"/>
      <c r="AJ5" s="291"/>
      <c r="AK5" s="291"/>
      <c r="AL5" s="291"/>
      <c r="AM5" s="291"/>
      <c r="AN5" s="291"/>
      <c r="AO5" s="291"/>
      <c r="AP5" s="291"/>
      <c r="AQ5" s="291"/>
      <c r="AR5" s="291"/>
      <c r="AS5" s="291"/>
      <c r="AT5" s="291"/>
      <c r="AU5" s="291"/>
      <c r="AV5" s="291"/>
      <c r="AW5" s="291"/>
      <c r="AX5" s="291"/>
      <c r="AY5" s="291"/>
      <c r="AZ5" s="291"/>
      <c r="BA5" s="291"/>
      <c r="BB5" s="291"/>
      <c r="BC5" s="291"/>
      <c r="BD5" s="291"/>
      <c r="BE5" s="291"/>
      <c r="BF5" s="291"/>
      <c r="BG5" s="291"/>
      <c r="BH5" s="291"/>
      <c r="BI5" s="291"/>
      <c r="BJ5" s="291"/>
      <c r="BK5" s="291"/>
      <c r="BL5" s="291"/>
      <c r="BM5" s="291"/>
      <c r="BN5" s="291"/>
      <c r="BO5" s="291"/>
      <c r="BP5" s="291"/>
      <c r="BQ5" s="291"/>
      <c r="BR5" s="291"/>
      <c r="BS5" s="291"/>
      <c r="BT5" s="291"/>
      <c r="BU5" s="291"/>
      <c r="BV5" s="291"/>
      <c r="BW5" s="291"/>
      <c r="BX5" s="291"/>
      <c r="BY5" s="291"/>
      <c r="BZ5" s="291"/>
      <c r="CA5" s="291"/>
      <c r="CB5" s="291"/>
      <c r="CC5" s="291"/>
      <c r="CD5" s="291"/>
      <c r="CE5" s="291"/>
      <c r="CF5" s="291"/>
      <c r="CG5" s="291"/>
      <c r="CH5" s="291"/>
    </row>
    <row r="6" customFormat="false" ht="15" hidden="false" customHeight="true" outlineLevel="0" collapsed="false">
      <c r="A6" s="302" t="s">
        <v>1108</v>
      </c>
      <c r="B6" s="303" t="n">
        <f aca="false">SUM(Model!E254:CG254)</f>
        <v>1114996</v>
      </c>
      <c r="C6" s="303" t="n">
        <f aca="false">Helpers!B47</f>
        <v>1912475</v>
      </c>
      <c r="D6" s="303" t="n">
        <f aca="false">B6+C6</f>
        <v>3027471</v>
      </c>
      <c r="E6" s="291"/>
      <c r="F6" s="291"/>
      <c r="G6" s="291"/>
      <c r="H6" s="291"/>
      <c r="I6" s="291"/>
      <c r="J6" s="291"/>
      <c r="K6" s="291"/>
      <c r="L6" s="291"/>
      <c r="M6" s="291"/>
      <c r="N6" s="291"/>
      <c r="O6" s="291"/>
      <c r="P6" s="291"/>
      <c r="Q6" s="291"/>
      <c r="R6" s="291"/>
      <c r="S6" s="291"/>
      <c r="T6" s="291"/>
      <c r="U6" s="291"/>
      <c r="V6" s="291"/>
      <c r="W6" s="291"/>
      <c r="X6" s="291"/>
      <c r="Y6" s="291"/>
      <c r="Z6" s="291"/>
      <c r="AA6" s="291"/>
      <c r="AB6" s="291"/>
      <c r="AC6" s="291"/>
      <c r="AD6" s="291"/>
      <c r="AE6" s="291"/>
      <c r="AF6" s="291"/>
      <c r="AG6" s="291"/>
      <c r="AH6" s="291"/>
      <c r="AI6" s="291"/>
      <c r="AJ6" s="291"/>
      <c r="AK6" s="291"/>
      <c r="AL6" s="291"/>
      <c r="AM6" s="291"/>
      <c r="AN6" s="291"/>
      <c r="AO6" s="291"/>
      <c r="AP6" s="291"/>
      <c r="AQ6" s="291"/>
      <c r="AR6" s="291"/>
      <c r="AS6" s="291"/>
      <c r="AT6" s="291"/>
      <c r="AU6" s="291"/>
      <c r="AV6" s="291"/>
      <c r="AW6" s="291"/>
      <c r="AX6" s="291"/>
      <c r="AY6" s="291"/>
      <c r="AZ6" s="291"/>
      <c r="BA6" s="291"/>
      <c r="BB6" s="291"/>
      <c r="BC6" s="291"/>
      <c r="BD6" s="291"/>
      <c r="BE6" s="291"/>
      <c r="BF6" s="291"/>
      <c r="BG6" s="291"/>
      <c r="BH6" s="291"/>
      <c r="BI6" s="291"/>
      <c r="BJ6" s="291"/>
      <c r="BK6" s="291"/>
      <c r="BL6" s="291"/>
      <c r="BM6" s="291"/>
      <c r="BN6" s="291"/>
      <c r="BO6" s="291"/>
      <c r="BP6" s="291"/>
      <c r="BQ6" s="291"/>
      <c r="BR6" s="291"/>
      <c r="BS6" s="291"/>
      <c r="BT6" s="291"/>
      <c r="BU6" s="291"/>
      <c r="BV6" s="291"/>
      <c r="BW6" s="291"/>
      <c r="BX6" s="291"/>
      <c r="BY6" s="291"/>
      <c r="BZ6" s="291"/>
      <c r="CA6" s="291"/>
      <c r="CB6" s="291"/>
      <c r="CC6" s="291"/>
      <c r="CD6" s="291"/>
      <c r="CE6" s="291"/>
      <c r="CF6" s="291"/>
      <c r="CG6" s="291"/>
      <c r="CH6" s="291"/>
    </row>
    <row r="7" customFormat="false" ht="15" hidden="false" customHeight="true" outlineLevel="0" collapsed="false">
      <c r="A7" s="90" t="s">
        <v>1109</v>
      </c>
      <c r="B7" s="291" t="n">
        <f aca="false">-Projects!$B$7*Assumptions!$B$47</f>
        <v>-427947.65</v>
      </c>
      <c r="C7" s="291" t="n">
        <v>0</v>
      </c>
      <c r="D7" s="291" t="n">
        <f aca="false">B7+C7</f>
        <v>-427947.65</v>
      </c>
      <c r="E7" s="291"/>
      <c r="F7" s="291"/>
      <c r="G7" s="291"/>
      <c r="H7" s="291"/>
      <c r="I7" s="291"/>
      <c r="J7" s="291"/>
      <c r="K7" s="291"/>
      <c r="L7" s="291"/>
      <c r="M7" s="291"/>
      <c r="N7" s="291"/>
      <c r="O7" s="291"/>
      <c r="P7" s="291"/>
      <c r="Q7" s="291"/>
      <c r="R7" s="291"/>
      <c r="S7" s="291"/>
      <c r="T7" s="291"/>
      <c r="U7" s="291"/>
      <c r="V7" s="291"/>
      <c r="W7" s="291"/>
      <c r="X7" s="291"/>
      <c r="Y7" s="291"/>
      <c r="Z7" s="291"/>
      <c r="AA7" s="291"/>
      <c r="AB7" s="291"/>
      <c r="AC7" s="291"/>
      <c r="AD7" s="291"/>
      <c r="AE7" s="291"/>
      <c r="AF7" s="291"/>
      <c r="AG7" s="291"/>
      <c r="AH7" s="291"/>
      <c r="AI7" s="291"/>
      <c r="AJ7" s="291"/>
      <c r="AK7" s="291"/>
      <c r="AL7" s="291"/>
      <c r="AM7" s="291"/>
      <c r="AN7" s="291"/>
      <c r="AO7" s="291"/>
      <c r="AP7" s="291"/>
      <c r="AQ7" s="291"/>
      <c r="AR7" s="291"/>
      <c r="AS7" s="291"/>
      <c r="AT7" s="291"/>
      <c r="AU7" s="291"/>
      <c r="AV7" s="291"/>
      <c r="AW7" s="291"/>
      <c r="AX7" s="291"/>
      <c r="AY7" s="291"/>
      <c r="AZ7" s="291"/>
      <c r="BA7" s="291"/>
      <c r="BB7" s="291"/>
      <c r="BC7" s="291"/>
      <c r="BD7" s="291"/>
      <c r="BE7" s="291"/>
      <c r="BF7" s="291"/>
      <c r="BG7" s="291"/>
      <c r="BH7" s="291"/>
      <c r="BI7" s="291"/>
      <c r="BJ7" s="291"/>
      <c r="BK7" s="291"/>
      <c r="BL7" s="291"/>
      <c r="BM7" s="291"/>
      <c r="BN7" s="291"/>
      <c r="BO7" s="291"/>
      <c r="BP7" s="291"/>
      <c r="BQ7" s="291"/>
      <c r="BR7" s="291"/>
      <c r="BS7" s="291"/>
      <c r="BT7" s="291"/>
      <c r="BU7" s="291"/>
      <c r="BV7" s="291"/>
      <c r="BW7" s="291"/>
      <c r="BX7" s="291"/>
      <c r="BY7" s="291"/>
      <c r="BZ7" s="291"/>
      <c r="CA7" s="291"/>
      <c r="CB7" s="291"/>
      <c r="CC7" s="291"/>
      <c r="CD7" s="291"/>
      <c r="CE7" s="291"/>
      <c r="CF7" s="291"/>
      <c r="CG7" s="291"/>
      <c r="CH7" s="291"/>
    </row>
    <row r="8" customFormat="false" ht="15" hidden="false" customHeight="true" outlineLevel="0" collapsed="false">
      <c r="A8" s="302" t="s">
        <v>1110</v>
      </c>
      <c r="B8" s="303" t="n">
        <f aca="false">-Assumptions!$B$53*Assumptions!$B$48</f>
        <v>-150000</v>
      </c>
      <c r="C8" s="303" t="n">
        <v>0</v>
      </c>
      <c r="D8" s="303"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1093</v>
      </c>
      <c r="B9" s="291" t="n">
        <v>0</v>
      </c>
      <c r="C9" s="291" t="n">
        <v>0</v>
      </c>
      <c r="D9" s="291"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304" t="s">
        <v>1111</v>
      </c>
      <c r="B10" s="305" t="n">
        <f aca="false">SUM(B6:B9)</f>
        <v>537048.35</v>
      </c>
      <c r="C10" s="305" t="n">
        <f aca="false">SUM(C6:C9)</f>
        <v>1912475</v>
      </c>
      <c r="D10" s="305" t="n">
        <f aca="false">SUM(D6:D9)</f>
        <v>2449523.35</v>
      </c>
      <c r="E10" s="291"/>
      <c r="F10" s="291"/>
      <c r="G10" s="291"/>
      <c r="H10" s="291"/>
      <c r="I10" s="291"/>
      <c r="J10" s="291"/>
      <c r="K10" s="291"/>
      <c r="L10" s="291"/>
      <c r="M10" s="291"/>
      <c r="N10" s="291"/>
      <c r="O10" s="291"/>
      <c r="P10" s="291"/>
      <c r="Q10" s="291"/>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1"/>
      <c r="BD10" s="291"/>
      <c r="BE10" s="291"/>
      <c r="BF10" s="291"/>
      <c r="BG10" s="291"/>
      <c r="BH10" s="291"/>
      <c r="BI10" s="291"/>
      <c r="BJ10" s="291"/>
      <c r="BK10" s="291"/>
      <c r="BL10" s="291"/>
      <c r="BM10" s="291"/>
      <c r="BN10" s="291"/>
      <c r="BO10" s="291"/>
      <c r="BP10" s="291"/>
      <c r="BQ10" s="291"/>
      <c r="BR10" s="291"/>
      <c r="BS10" s="291"/>
      <c r="BT10" s="291"/>
      <c r="BU10" s="291"/>
      <c r="BV10" s="291"/>
      <c r="BW10" s="291"/>
      <c r="BX10" s="291"/>
      <c r="BY10" s="291"/>
      <c r="BZ10" s="291"/>
      <c r="CA10" s="291"/>
      <c r="CB10" s="291"/>
      <c r="CC10" s="291"/>
      <c r="CD10" s="291"/>
      <c r="CE10" s="291"/>
      <c r="CF10" s="291"/>
      <c r="CG10" s="291"/>
      <c r="CH10" s="291"/>
    </row>
    <row r="11" customFormat="false" ht="15" hidden="false" customHeight="true" outlineLevel="0" collapsed="false">
      <c r="A11" s="306"/>
      <c r="B11" s="307"/>
      <c r="C11" s="307"/>
      <c r="D11" s="307"/>
      <c r="E11" s="291"/>
      <c r="F11" s="291"/>
      <c r="G11" s="291"/>
      <c r="H11" s="291"/>
      <c r="I11" s="291"/>
      <c r="J11" s="291"/>
      <c r="K11" s="291"/>
      <c r="L11" s="291"/>
      <c r="M11" s="291"/>
      <c r="N11" s="291"/>
      <c r="O11" s="291"/>
      <c r="P11" s="291"/>
      <c r="Q11" s="291"/>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1"/>
      <c r="BD11" s="291"/>
      <c r="BE11" s="291"/>
      <c r="BF11" s="291"/>
      <c r="BG11" s="291"/>
      <c r="BH11" s="291"/>
      <c r="BI11" s="291"/>
      <c r="BJ11" s="291"/>
      <c r="BK11" s="291"/>
      <c r="BL11" s="291"/>
      <c r="BM11" s="291"/>
      <c r="BN11" s="291"/>
      <c r="BO11" s="291"/>
      <c r="BP11" s="291"/>
      <c r="BQ11" s="291"/>
      <c r="BR11" s="291"/>
      <c r="BS11" s="291"/>
      <c r="BT11" s="291"/>
      <c r="BU11" s="291"/>
      <c r="BV11" s="291"/>
      <c r="BW11" s="291"/>
      <c r="BX11" s="291"/>
      <c r="BY11" s="291"/>
      <c r="BZ11" s="291"/>
      <c r="CA11" s="291"/>
      <c r="CB11" s="291"/>
      <c r="CC11" s="291"/>
      <c r="CD11" s="291"/>
      <c r="CE11" s="291"/>
      <c r="CF11" s="291"/>
      <c r="CG11" s="291"/>
      <c r="CH11" s="291"/>
    </row>
    <row r="12" customFormat="false" ht="15" hidden="false" customHeight="true" outlineLevel="0" collapsed="false">
      <c r="A12" s="272" t="s">
        <v>1112</v>
      </c>
      <c r="B12" s="272"/>
      <c r="C12" s="308"/>
      <c r="D12" s="308"/>
      <c r="E12" s="291"/>
      <c r="F12" s="291"/>
      <c r="G12" s="291"/>
      <c r="H12" s="291"/>
      <c r="I12" s="291"/>
      <c r="J12" s="291"/>
      <c r="K12" s="291"/>
      <c r="L12" s="291"/>
      <c r="M12" s="291"/>
      <c r="N12" s="291"/>
      <c r="O12" s="291"/>
      <c r="P12" s="291"/>
      <c r="Q12" s="291"/>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1"/>
      <c r="BD12" s="291"/>
      <c r="BE12" s="291"/>
      <c r="BF12" s="291"/>
      <c r="BG12" s="291"/>
      <c r="BH12" s="291"/>
      <c r="BI12" s="291"/>
      <c r="BJ12" s="291"/>
      <c r="BK12" s="291"/>
      <c r="BL12" s="291"/>
      <c r="BM12" s="291"/>
      <c r="BN12" s="291"/>
      <c r="BO12" s="291"/>
      <c r="BP12" s="291"/>
      <c r="BQ12" s="291"/>
      <c r="BR12" s="291"/>
      <c r="BS12" s="291"/>
      <c r="BT12" s="291"/>
      <c r="BU12" s="291"/>
      <c r="BV12" s="291"/>
      <c r="BW12" s="291"/>
      <c r="BX12" s="291"/>
      <c r="BY12" s="291"/>
      <c r="BZ12" s="291"/>
      <c r="CA12" s="291"/>
      <c r="CB12" s="291"/>
      <c r="CC12" s="291"/>
      <c r="CD12" s="291"/>
      <c r="CE12" s="291"/>
      <c r="CF12" s="291"/>
      <c r="CG12" s="291"/>
      <c r="CH12" s="291"/>
    </row>
    <row r="13" customFormat="false" ht="15" hidden="false" customHeight="true" outlineLevel="0" collapsed="false">
      <c r="A13" s="302" t="s">
        <v>1108</v>
      </c>
      <c r="B13" s="303" t="n">
        <f aca="false">SUM(Model!E256:CG256)</f>
        <v>0</v>
      </c>
      <c r="C13" s="303" t="n">
        <f aca="false">IFERROR(Helpers!B48,0)</f>
        <v>0</v>
      </c>
      <c r="D13" s="303" t="n">
        <f aca="false">IFERROR(B13+C13,0)</f>
        <v>0</v>
      </c>
      <c r="E13" s="291"/>
      <c r="F13" s="291"/>
      <c r="G13" s="291"/>
      <c r="H13" s="291"/>
      <c r="I13" s="291"/>
      <c r="J13" s="291"/>
      <c r="K13" s="291"/>
      <c r="L13" s="291"/>
      <c r="M13" s="291"/>
      <c r="N13" s="291"/>
      <c r="O13" s="291"/>
      <c r="P13" s="291"/>
      <c r="Q13" s="291"/>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1"/>
      <c r="BD13" s="291"/>
      <c r="BE13" s="291"/>
      <c r="BF13" s="291"/>
      <c r="BG13" s="291"/>
      <c r="BH13" s="291"/>
      <c r="BI13" s="291"/>
      <c r="BJ13" s="291"/>
      <c r="BK13" s="291"/>
      <c r="BL13" s="291"/>
      <c r="BM13" s="291"/>
      <c r="BN13" s="291"/>
      <c r="BO13" s="291"/>
      <c r="BP13" s="291"/>
      <c r="BQ13" s="291"/>
      <c r="BR13" s="291"/>
      <c r="BS13" s="291"/>
      <c r="BT13" s="291"/>
      <c r="BU13" s="291"/>
      <c r="BV13" s="291"/>
      <c r="BW13" s="291"/>
      <c r="BX13" s="291"/>
      <c r="BY13" s="291"/>
      <c r="BZ13" s="291"/>
      <c r="CA13" s="291"/>
      <c r="CB13" s="291"/>
      <c r="CC13" s="291"/>
      <c r="CD13" s="291"/>
      <c r="CE13" s="291"/>
      <c r="CF13" s="291"/>
      <c r="CG13" s="291"/>
      <c r="CH13" s="291"/>
    </row>
    <row r="14" customFormat="false" ht="15" hidden="false" customHeight="true" outlineLevel="0" collapsed="false">
      <c r="A14" s="309" t="s">
        <v>1109</v>
      </c>
      <c r="B14" s="310" t="n">
        <f aca="false">-Projects!$B$14*Assumptions!$B$47</f>
        <v>-413546.32</v>
      </c>
      <c r="C14" s="310" t="n">
        <v>0</v>
      </c>
      <c r="D14" s="310" t="n">
        <f aca="false">B14+C14</f>
        <v>-413546.32</v>
      </c>
      <c r="E14" s="291"/>
      <c r="F14" s="291"/>
      <c r="G14" s="291"/>
      <c r="H14" s="291"/>
      <c r="I14" s="291"/>
      <c r="J14" s="291"/>
      <c r="K14" s="291"/>
      <c r="L14" s="291"/>
      <c r="M14" s="291"/>
      <c r="N14" s="291"/>
      <c r="O14" s="291"/>
      <c r="P14" s="291"/>
      <c r="Q14" s="291"/>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1"/>
      <c r="BD14" s="291"/>
      <c r="BE14" s="291"/>
      <c r="BF14" s="291"/>
      <c r="BG14" s="291"/>
      <c r="BH14" s="291"/>
      <c r="BI14" s="291"/>
      <c r="BJ14" s="291"/>
      <c r="BK14" s="291"/>
      <c r="BL14" s="291"/>
      <c r="BM14" s="291"/>
      <c r="BN14" s="291"/>
      <c r="BO14" s="291"/>
      <c r="BP14" s="291"/>
      <c r="BQ14" s="291"/>
      <c r="BR14" s="291"/>
      <c r="BS14" s="291"/>
      <c r="BT14" s="291"/>
      <c r="BU14" s="291"/>
      <c r="BV14" s="291"/>
      <c r="BW14" s="291"/>
      <c r="BX14" s="291"/>
      <c r="BY14" s="291"/>
      <c r="BZ14" s="291"/>
      <c r="CA14" s="291"/>
      <c r="CB14" s="291"/>
      <c r="CC14" s="291"/>
      <c r="CD14" s="291"/>
      <c r="CE14" s="291"/>
      <c r="CF14" s="291"/>
      <c r="CG14" s="291"/>
      <c r="CH14" s="291"/>
    </row>
    <row r="15" customFormat="false" ht="15" hidden="false" customHeight="true" outlineLevel="0" collapsed="false">
      <c r="A15" s="302" t="s">
        <v>1110</v>
      </c>
      <c r="B15" s="303" t="n">
        <f aca="false">-Assumptions!$B$55*Assumptions!$B$48</f>
        <v>-150000</v>
      </c>
      <c r="C15" s="303" t="n">
        <v>0</v>
      </c>
      <c r="D15" s="303"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09" t="s">
        <v>1093</v>
      </c>
      <c r="B16" s="310" t="n">
        <f aca="false">-SUM(Model!E337:CG337)</f>
        <v>-0</v>
      </c>
      <c r="C16" s="310" t="n">
        <f aca="false">IFERROR(-Helpers!F93,0)</f>
        <v>-0</v>
      </c>
      <c r="D16" s="310" t="n">
        <f aca="false">IFERROR(B16+C16,0)</f>
        <v>-0</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1111</v>
      </c>
      <c r="B17" s="311" t="n">
        <f aca="false">SUM(B13:B16)</f>
        <v>-563546.32</v>
      </c>
      <c r="C17" s="311" t="n">
        <f aca="false">IFERROR(SUM(C13:C16),0)</f>
        <v>0</v>
      </c>
      <c r="D17" s="311" t="n">
        <f aca="false">IFERROR(SUM(D13:D16),0)</f>
        <v>-563546.32</v>
      </c>
      <c r="E17" s="291"/>
      <c r="F17" s="291"/>
      <c r="G17" s="291"/>
      <c r="H17" s="291"/>
      <c r="I17" s="291"/>
      <c r="J17" s="291"/>
      <c r="K17" s="291"/>
      <c r="L17" s="291"/>
      <c r="M17" s="291"/>
      <c r="N17" s="291"/>
      <c r="O17" s="291"/>
      <c r="P17" s="291"/>
      <c r="Q17" s="291"/>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1"/>
      <c r="BD17" s="291"/>
      <c r="BE17" s="291"/>
      <c r="BF17" s="291"/>
      <c r="BG17" s="291"/>
      <c r="BH17" s="291"/>
      <c r="BI17" s="291"/>
      <c r="BJ17" s="291"/>
      <c r="BK17" s="291"/>
      <c r="BL17" s="291"/>
      <c r="BM17" s="291"/>
      <c r="BN17" s="291"/>
      <c r="BO17" s="291"/>
      <c r="BP17" s="291"/>
      <c r="BQ17" s="291"/>
      <c r="BR17" s="291"/>
      <c r="BS17" s="291"/>
      <c r="BT17" s="291"/>
      <c r="BU17" s="291"/>
      <c r="BV17" s="291"/>
      <c r="BW17" s="291"/>
      <c r="BX17" s="291"/>
      <c r="BY17" s="291"/>
      <c r="BZ17" s="291"/>
      <c r="CA17" s="291"/>
      <c r="CB17" s="291"/>
      <c r="CC17" s="291"/>
      <c r="CD17" s="291"/>
      <c r="CE17" s="291"/>
      <c r="CF17" s="291"/>
      <c r="CG17" s="291"/>
      <c r="CH17" s="291"/>
    </row>
    <row r="18" customFormat="false" ht="15" hidden="false" customHeight="true" outlineLevel="0" collapsed="false">
      <c r="A18" s="312"/>
      <c r="B18" s="313"/>
      <c r="C18" s="313"/>
      <c r="D18" s="313"/>
      <c r="E18" s="291"/>
      <c r="F18" s="291"/>
      <c r="G18" s="291"/>
      <c r="H18" s="291"/>
      <c r="I18" s="291"/>
      <c r="J18" s="291"/>
      <c r="K18" s="291"/>
      <c r="L18" s="291"/>
      <c r="M18" s="291"/>
      <c r="N18" s="291"/>
      <c r="O18" s="291"/>
      <c r="P18" s="291"/>
      <c r="Q18" s="291"/>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1"/>
      <c r="BD18" s="291"/>
      <c r="BE18" s="291"/>
      <c r="BF18" s="291"/>
      <c r="BG18" s="291"/>
      <c r="BH18" s="291"/>
      <c r="BI18" s="291"/>
      <c r="BJ18" s="291"/>
      <c r="BK18" s="291"/>
      <c r="BL18" s="291"/>
      <c r="BM18" s="291"/>
      <c r="BN18" s="291"/>
      <c r="BO18" s="291"/>
      <c r="BP18" s="291"/>
      <c r="BQ18" s="291"/>
      <c r="BR18" s="291"/>
      <c r="BS18" s="291"/>
      <c r="BT18" s="291"/>
      <c r="BU18" s="291"/>
      <c r="BV18" s="291"/>
      <c r="BW18" s="291"/>
      <c r="BX18" s="291"/>
      <c r="BY18" s="291"/>
      <c r="BZ18" s="291"/>
      <c r="CA18" s="291"/>
      <c r="CB18" s="291"/>
      <c r="CC18" s="291"/>
      <c r="CD18" s="291"/>
      <c r="CE18" s="291"/>
      <c r="CF18" s="291"/>
      <c r="CG18" s="291"/>
      <c r="CH18" s="291"/>
    </row>
    <row r="19" customFormat="false" ht="15" hidden="false" customHeight="true" outlineLevel="0" collapsed="false">
      <c r="A19" s="314" t="s">
        <v>18</v>
      </c>
      <c r="B19" s="315"/>
      <c r="C19" s="315"/>
      <c r="D19" s="315"/>
      <c r="E19" s="291"/>
      <c r="F19" s="291"/>
      <c r="G19" s="291"/>
      <c r="H19" s="291"/>
      <c r="I19" s="291"/>
      <c r="J19" s="291"/>
      <c r="K19" s="291"/>
      <c r="L19" s="291"/>
      <c r="M19" s="291"/>
      <c r="N19" s="291"/>
      <c r="O19" s="291"/>
      <c r="P19" s="291"/>
      <c r="Q19" s="291"/>
      <c r="R19" s="291"/>
      <c r="S19" s="291"/>
      <c r="T19" s="291"/>
      <c r="U19" s="291"/>
      <c r="V19" s="291"/>
      <c r="W19" s="291"/>
      <c r="X19" s="291"/>
      <c r="Y19" s="291"/>
      <c r="Z19" s="291"/>
      <c r="AA19" s="291"/>
      <c r="AB19" s="291"/>
      <c r="AC19" s="291"/>
      <c r="AD19" s="291"/>
      <c r="AE19" s="291"/>
      <c r="AF19" s="291"/>
      <c r="AG19" s="291"/>
      <c r="AH19" s="291"/>
      <c r="AI19" s="291"/>
      <c r="AJ19" s="291"/>
      <c r="AK19" s="291"/>
      <c r="AL19" s="291"/>
      <c r="AM19" s="291"/>
      <c r="AN19" s="291"/>
      <c r="AO19" s="291"/>
      <c r="AP19" s="291"/>
      <c r="AQ19" s="291"/>
      <c r="AR19" s="291"/>
      <c r="AS19" s="291"/>
      <c r="AT19" s="291"/>
      <c r="AU19" s="291"/>
      <c r="AV19" s="291"/>
      <c r="AW19" s="291"/>
      <c r="AX19" s="291"/>
      <c r="AY19" s="291"/>
      <c r="AZ19" s="291"/>
      <c r="BA19" s="291"/>
      <c r="BB19" s="291"/>
      <c r="BC19" s="291"/>
      <c r="BD19" s="291"/>
      <c r="BE19" s="291"/>
      <c r="BF19" s="291"/>
      <c r="BG19" s="291"/>
      <c r="BH19" s="291"/>
      <c r="BI19" s="291"/>
      <c r="BJ19" s="291"/>
      <c r="BK19" s="291"/>
      <c r="BL19" s="291"/>
      <c r="BM19" s="291"/>
      <c r="BN19" s="291"/>
      <c r="BO19" s="291"/>
      <c r="BP19" s="291"/>
      <c r="BQ19" s="291"/>
      <c r="BR19" s="291"/>
      <c r="BS19" s="291"/>
      <c r="BT19" s="291"/>
      <c r="BU19" s="291"/>
      <c r="BV19" s="291"/>
      <c r="BW19" s="291"/>
      <c r="BX19" s="291"/>
      <c r="BY19" s="291"/>
      <c r="BZ19" s="291"/>
      <c r="CA19" s="291"/>
      <c r="CB19" s="291"/>
      <c r="CC19" s="291"/>
      <c r="CD19" s="291"/>
      <c r="CE19" s="291"/>
      <c r="CF19" s="291"/>
      <c r="CG19" s="291"/>
      <c r="CH19" s="291"/>
    </row>
    <row r="20" customFormat="false" ht="15" hidden="false" customHeight="true" outlineLevel="0" collapsed="false">
      <c r="A20" s="316" t="s">
        <v>1108</v>
      </c>
      <c r="B20" s="317" t="n">
        <f aca="false">SUM(Model!E255:CG255)</f>
        <v>1599927</v>
      </c>
      <c r="C20" s="317" t="n">
        <f aca="false">Helpers!B49</f>
        <v>2359498</v>
      </c>
      <c r="D20" s="317"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18" t="s">
        <v>1109</v>
      </c>
      <c r="B21" s="319" t="n">
        <f aca="false">-Projects!$B$13*Assumptions!$B$47</f>
        <v>-452667.7</v>
      </c>
      <c r="C21" s="319" t="n">
        <v>0</v>
      </c>
      <c r="D21" s="319"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16" t="s">
        <v>1110</v>
      </c>
      <c r="B22" s="317" t="n">
        <f aca="false">-Assumptions!$B$54*Assumptions!$B$48</f>
        <v>-150000</v>
      </c>
      <c r="C22" s="317" t="n">
        <v>0</v>
      </c>
      <c r="D22" s="317" t="n">
        <f aca="false">B22+C22</f>
        <v>-150000</v>
      </c>
      <c r="E22" s="291"/>
      <c r="F22" s="291"/>
      <c r="G22" s="291"/>
      <c r="H22" s="291"/>
      <c r="I22" s="291"/>
      <c r="J22" s="291"/>
      <c r="K22" s="291"/>
      <c r="L22" s="291"/>
      <c r="M22" s="291"/>
      <c r="N22" s="291"/>
      <c r="O22" s="291"/>
      <c r="P22" s="291"/>
      <c r="Q22" s="291"/>
      <c r="R22" s="291"/>
      <c r="S22" s="291"/>
      <c r="T22" s="291"/>
      <c r="U22" s="291"/>
      <c r="V22" s="291"/>
      <c r="W22" s="291"/>
      <c r="X22" s="291"/>
      <c r="Y22" s="291"/>
      <c r="Z22" s="291"/>
      <c r="AA22" s="291"/>
      <c r="AB22" s="291"/>
      <c r="AC22" s="291"/>
      <c r="AD22" s="291"/>
      <c r="AE22" s="291"/>
      <c r="AF22" s="291"/>
      <c r="AG22" s="291"/>
      <c r="AH22" s="291"/>
      <c r="AI22" s="291"/>
      <c r="AJ22" s="291"/>
      <c r="AK22" s="291"/>
      <c r="AL22" s="291"/>
      <c r="AM22" s="291"/>
      <c r="AN22" s="291"/>
      <c r="AO22" s="291"/>
      <c r="AP22" s="291"/>
      <c r="AQ22" s="291"/>
      <c r="AR22" s="291"/>
      <c r="AS22" s="291"/>
      <c r="AT22" s="291"/>
      <c r="AU22" s="291"/>
      <c r="AV22" s="291"/>
      <c r="AW22" s="291"/>
      <c r="AX22" s="291"/>
      <c r="AY22" s="291"/>
      <c r="AZ22" s="291"/>
      <c r="BA22" s="291"/>
      <c r="BB22" s="291"/>
      <c r="BC22" s="291"/>
      <c r="BD22" s="291"/>
      <c r="BE22" s="291"/>
      <c r="BF22" s="291"/>
      <c r="BG22" s="291"/>
      <c r="BH22" s="291"/>
      <c r="BI22" s="291"/>
      <c r="BJ22" s="291"/>
      <c r="BK22" s="291"/>
      <c r="BL22" s="291"/>
      <c r="BM22" s="291"/>
      <c r="BN22" s="291"/>
      <c r="BO22" s="291"/>
      <c r="BP22" s="291"/>
      <c r="BQ22" s="291"/>
      <c r="BR22" s="291"/>
      <c r="BS22" s="291"/>
      <c r="BT22" s="291"/>
      <c r="BU22" s="291"/>
      <c r="BV22" s="291"/>
      <c r="BW22" s="291"/>
      <c r="BX22" s="291"/>
      <c r="BY22" s="291"/>
      <c r="BZ22" s="291"/>
      <c r="CA22" s="291"/>
      <c r="CB22" s="291"/>
      <c r="CC22" s="291"/>
      <c r="CD22" s="291"/>
      <c r="CE22" s="291"/>
      <c r="CF22" s="291"/>
      <c r="CG22" s="291"/>
      <c r="CH22" s="291"/>
    </row>
    <row r="23" customFormat="false" ht="15" hidden="false" customHeight="true" outlineLevel="0" collapsed="false">
      <c r="A23" s="90" t="s">
        <v>1093</v>
      </c>
      <c r="B23" s="291" t="n">
        <f aca="false">-SUM(Model!E342:CG342)</f>
        <v>-735311.322547972</v>
      </c>
      <c r="C23" s="291" t="n">
        <v>0</v>
      </c>
      <c r="D23" s="291" t="n">
        <f aca="false">B23+C23</f>
        <v>-735311.322547972</v>
      </c>
      <c r="E23" s="291"/>
      <c r="F23" s="291"/>
      <c r="G23" s="291"/>
      <c r="H23" s="291"/>
      <c r="I23" s="291"/>
      <c r="J23" s="291"/>
      <c r="K23" s="291"/>
      <c r="L23" s="291"/>
      <c r="M23" s="291"/>
      <c r="N23" s="291"/>
      <c r="O23" s="291"/>
      <c r="P23" s="291"/>
      <c r="Q23" s="291"/>
      <c r="R23" s="291"/>
      <c r="S23" s="291"/>
      <c r="T23" s="291"/>
      <c r="U23" s="291"/>
      <c r="V23" s="291"/>
      <c r="W23" s="291"/>
      <c r="X23" s="291"/>
      <c r="Y23" s="291"/>
      <c r="Z23" s="291"/>
      <c r="AA23" s="291"/>
      <c r="AB23" s="291"/>
      <c r="AC23" s="291"/>
      <c r="AD23" s="291"/>
      <c r="AE23" s="291"/>
      <c r="AF23" s="291"/>
      <c r="AG23" s="291"/>
      <c r="AH23" s="291"/>
      <c r="AI23" s="291"/>
      <c r="AJ23" s="291"/>
      <c r="AK23" s="291"/>
      <c r="AL23" s="291"/>
      <c r="AM23" s="291"/>
      <c r="AN23" s="291"/>
      <c r="AO23" s="291"/>
      <c r="AP23" s="291"/>
      <c r="AQ23" s="291"/>
      <c r="AR23" s="291"/>
      <c r="AS23" s="291"/>
      <c r="AT23" s="291"/>
      <c r="AU23" s="291"/>
      <c r="AV23" s="291"/>
      <c r="AW23" s="291"/>
      <c r="AX23" s="291"/>
      <c r="AY23" s="291"/>
      <c r="AZ23" s="291"/>
      <c r="BA23" s="291"/>
      <c r="BB23" s="291"/>
      <c r="BC23" s="291"/>
      <c r="BD23" s="291"/>
      <c r="BE23" s="291"/>
      <c r="BF23" s="291"/>
      <c r="BG23" s="291"/>
      <c r="BH23" s="291"/>
      <c r="BI23" s="291"/>
      <c r="BJ23" s="291"/>
      <c r="BK23" s="291"/>
      <c r="BL23" s="291"/>
      <c r="BM23" s="291"/>
      <c r="BN23" s="291"/>
      <c r="BO23" s="291"/>
      <c r="BP23" s="291"/>
      <c r="BQ23" s="291"/>
      <c r="BR23" s="291"/>
      <c r="BS23" s="291"/>
      <c r="BT23" s="291"/>
      <c r="BU23" s="291"/>
      <c r="BV23" s="291"/>
      <c r="BW23" s="291"/>
      <c r="BX23" s="291"/>
      <c r="BY23" s="291"/>
      <c r="BZ23" s="291"/>
      <c r="CA23" s="291"/>
      <c r="CB23" s="291"/>
      <c r="CC23" s="291"/>
      <c r="CD23" s="291"/>
      <c r="CE23" s="291"/>
      <c r="CF23" s="291"/>
      <c r="CG23" s="291"/>
      <c r="CH23" s="291"/>
    </row>
    <row r="24" customFormat="false" ht="15" hidden="false" customHeight="true" outlineLevel="0" collapsed="false">
      <c r="A24" s="320" t="s">
        <v>1111</v>
      </c>
      <c r="B24" s="321" t="n">
        <f aca="false">SUM(B20:B23)</f>
        <v>261947.977452028</v>
      </c>
      <c r="C24" s="321" t="n">
        <f aca="false">SUM(C20:C23)</f>
        <v>2359498</v>
      </c>
      <c r="D24" s="321" t="n">
        <f aca="false">SUM(D20:D23)</f>
        <v>2621445.97745203</v>
      </c>
      <c r="E24" s="291"/>
      <c r="F24" s="291"/>
      <c r="G24" s="291"/>
      <c r="H24" s="291"/>
      <c r="I24" s="291"/>
      <c r="J24" s="291"/>
      <c r="K24" s="291"/>
      <c r="L24" s="291"/>
      <c r="M24" s="291"/>
      <c r="N24" s="291"/>
      <c r="O24" s="291"/>
      <c r="P24" s="291"/>
      <c r="Q24" s="291"/>
      <c r="R24" s="291"/>
      <c r="S24" s="291"/>
      <c r="T24" s="291"/>
      <c r="U24" s="291"/>
      <c r="V24" s="291"/>
      <c r="W24" s="291"/>
      <c r="X24" s="291"/>
      <c r="Y24" s="291"/>
      <c r="Z24" s="291"/>
      <c r="AA24" s="291"/>
      <c r="AB24" s="291"/>
      <c r="AC24" s="291"/>
      <c r="AD24" s="291"/>
      <c r="AE24" s="291"/>
      <c r="AF24" s="291"/>
      <c r="AG24" s="291"/>
      <c r="AH24" s="291"/>
      <c r="AI24" s="291"/>
      <c r="AJ24" s="291"/>
      <c r="AK24" s="291"/>
      <c r="AL24" s="291"/>
      <c r="AM24" s="291"/>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1"/>
      <c r="BK24" s="291"/>
      <c r="BL24" s="291"/>
      <c r="BM24" s="291"/>
      <c r="BN24" s="291"/>
      <c r="BO24" s="291"/>
      <c r="BP24" s="291"/>
      <c r="BQ24" s="291"/>
      <c r="BR24" s="291"/>
      <c r="BS24" s="291"/>
      <c r="BT24" s="291"/>
      <c r="BU24" s="291"/>
      <c r="BV24" s="291"/>
      <c r="BW24" s="291"/>
      <c r="BX24" s="291"/>
      <c r="BY24" s="291"/>
      <c r="BZ24" s="291"/>
      <c r="CA24" s="291"/>
      <c r="CB24" s="291"/>
      <c r="CC24" s="291"/>
      <c r="CD24" s="291"/>
      <c r="CE24" s="291"/>
      <c r="CF24" s="291"/>
      <c r="CG24" s="291"/>
      <c r="CH24" s="291"/>
    </row>
    <row r="25" customFormat="false" ht="15" hidden="false" customHeight="true" outlineLevel="0" collapsed="false">
      <c r="A25" s="290"/>
      <c r="B25" s="322"/>
      <c r="C25" s="322"/>
      <c r="D25" s="322"/>
      <c r="E25" s="291"/>
      <c r="F25" s="291"/>
      <c r="G25" s="291"/>
      <c r="H25" s="291"/>
      <c r="I25" s="291"/>
      <c r="J25" s="291"/>
      <c r="K25" s="291"/>
      <c r="L25" s="291"/>
      <c r="M25" s="291"/>
      <c r="N25" s="291"/>
      <c r="O25" s="291"/>
      <c r="P25" s="291"/>
      <c r="Q25" s="291"/>
      <c r="R25" s="291"/>
      <c r="S25" s="291"/>
      <c r="T25" s="291"/>
      <c r="U25" s="291"/>
      <c r="V25" s="291"/>
      <c r="W25" s="291"/>
      <c r="X25" s="291"/>
      <c r="Y25" s="291"/>
      <c r="Z25" s="291"/>
      <c r="AA25" s="291"/>
      <c r="AB25" s="291"/>
      <c r="AC25" s="291"/>
      <c r="AD25" s="291"/>
      <c r="AE25" s="291"/>
      <c r="AF25" s="291"/>
      <c r="AG25" s="291"/>
      <c r="AH25" s="291"/>
      <c r="AI25" s="291"/>
      <c r="AJ25" s="291"/>
      <c r="AK25" s="291"/>
      <c r="AL25" s="291"/>
      <c r="AM25" s="291"/>
      <c r="AN25" s="291"/>
      <c r="AO25" s="291"/>
      <c r="AP25" s="291"/>
      <c r="AQ25" s="291"/>
      <c r="AR25" s="291"/>
      <c r="AS25" s="291"/>
      <c r="AT25" s="291"/>
      <c r="AU25" s="291"/>
      <c r="AV25" s="291"/>
      <c r="AW25" s="291"/>
      <c r="AX25" s="291"/>
      <c r="AY25" s="291"/>
      <c r="AZ25" s="291"/>
      <c r="BA25" s="291"/>
      <c r="BB25" s="291"/>
      <c r="BC25" s="291"/>
      <c r="BD25" s="291"/>
      <c r="BE25" s="291"/>
      <c r="BF25" s="291"/>
      <c r="BG25" s="291"/>
      <c r="BH25" s="291"/>
      <c r="BI25" s="291"/>
      <c r="BJ25" s="291"/>
      <c r="BK25" s="291"/>
      <c r="BL25" s="291"/>
      <c r="BM25" s="291"/>
      <c r="BN25" s="291"/>
      <c r="BO25" s="291"/>
      <c r="BP25" s="291"/>
      <c r="BQ25" s="291"/>
      <c r="BR25" s="291"/>
      <c r="BS25" s="291"/>
      <c r="BT25" s="291"/>
      <c r="BU25" s="291"/>
      <c r="BV25" s="291"/>
      <c r="BW25" s="291"/>
      <c r="BX25" s="291"/>
      <c r="BY25" s="291"/>
      <c r="BZ25" s="291"/>
      <c r="CA25" s="291"/>
      <c r="CB25" s="291"/>
      <c r="CC25" s="291"/>
      <c r="CD25" s="291"/>
      <c r="CE25" s="291"/>
      <c r="CF25" s="291"/>
      <c r="CG25" s="291"/>
      <c r="CH25" s="291"/>
    </row>
    <row r="26" customFormat="false" ht="15" hidden="false" customHeight="true" outlineLevel="0" collapsed="false">
      <c r="A26" s="323" t="s">
        <v>1113</v>
      </c>
      <c r="B26" s="324"/>
      <c r="C26" s="324"/>
      <c r="D26" s="324"/>
      <c r="E26" s="291"/>
      <c r="F26" s="291"/>
      <c r="G26" s="291"/>
      <c r="H26" s="291"/>
      <c r="I26" s="291"/>
      <c r="J26" s="291"/>
      <c r="K26" s="291"/>
      <c r="L26" s="291"/>
      <c r="M26" s="291"/>
      <c r="N26" s="291"/>
      <c r="O26" s="291"/>
      <c r="P26" s="291"/>
      <c r="Q26" s="291"/>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1"/>
      <c r="BK26" s="291"/>
      <c r="BL26" s="291"/>
      <c r="BM26" s="291"/>
      <c r="BN26" s="291"/>
      <c r="BO26" s="291"/>
      <c r="BP26" s="291"/>
      <c r="BQ26" s="291"/>
      <c r="BR26" s="291"/>
      <c r="BS26" s="291"/>
      <c r="BT26" s="291"/>
      <c r="BU26" s="291"/>
      <c r="BV26" s="291"/>
      <c r="BW26" s="291"/>
      <c r="BX26" s="291"/>
      <c r="BY26" s="291"/>
      <c r="BZ26" s="291"/>
      <c r="CA26" s="291"/>
      <c r="CB26" s="291"/>
      <c r="CC26" s="291"/>
      <c r="CD26" s="291"/>
      <c r="CE26" s="291"/>
      <c r="CF26" s="291"/>
      <c r="CG26" s="291"/>
      <c r="CH26" s="291"/>
    </row>
    <row r="27" customFormat="false" ht="15" hidden="false" customHeight="true" outlineLevel="0" collapsed="false">
      <c r="A27" s="325" t="s">
        <v>1114</v>
      </c>
      <c r="B27" s="326" t="n">
        <f aca="false">B6+B13+B20</f>
        <v>2714923</v>
      </c>
      <c r="C27" s="326" t="n">
        <f aca="false">IFERROR(C6+C13+C20,0)</f>
        <v>4271973</v>
      </c>
      <c r="D27" s="326" t="n">
        <f aca="false">IFERROR(D6+D13+D20,0)</f>
        <v>6986896</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1115</v>
      </c>
      <c r="B28" s="291" t="n">
        <f aca="false">B7+B14+B21</f>
        <v>-1294161.67</v>
      </c>
      <c r="C28" s="291" t="n">
        <f aca="false">C7+C14+C21</f>
        <v>0</v>
      </c>
      <c r="D28" s="291"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27" t="s">
        <v>1116</v>
      </c>
      <c r="B29" s="328" t="n">
        <f aca="false">B8+B15+B22</f>
        <v>-450000</v>
      </c>
      <c r="C29" s="328" t="n">
        <f aca="false">C8+C15+C22</f>
        <v>0</v>
      </c>
      <c r="D29" s="328" t="n">
        <f aca="false">D8+D15+D22</f>
        <v>-450000</v>
      </c>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c r="AX29" s="291"/>
      <c r="AY29" s="291"/>
      <c r="AZ29" s="291"/>
      <c r="BA29" s="291"/>
      <c r="BB29" s="291"/>
      <c r="BC29" s="291"/>
      <c r="BD29" s="291"/>
      <c r="BE29" s="291"/>
      <c r="BF29" s="291"/>
      <c r="BG29" s="291"/>
      <c r="BH29" s="291"/>
      <c r="BI29" s="291"/>
      <c r="BJ29" s="291"/>
      <c r="BK29" s="291"/>
      <c r="BL29" s="291"/>
      <c r="BM29" s="291"/>
      <c r="BN29" s="291"/>
      <c r="BO29" s="291"/>
      <c r="BP29" s="291"/>
      <c r="BQ29" s="291"/>
      <c r="BR29" s="291"/>
      <c r="BS29" s="291"/>
      <c r="BT29" s="291"/>
      <c r="BU29" s="291"/>
      <c r="BV29" s="291"/>
      <c r="BW29" s="291"/>
      <c r="BX29" s="291"/>
      <c r="BY29" s="291"/>
      <c r="BZ29" s="291"/>
      <c r="CA29" s="291"/>
      <c r="CB29" s="291"/>
      <c r="CC29" s="291"/>
      <c r="CD29" s="291"/>
      <c r="CE29" s="291"/>
      <c r="CF29" s="291"/>
      <c r="CG29" s="291"/>
      <c r="CH29" s="291"/>
    </row>
    <row r="30" customFormat="false" ht="15" hidden="false" customHeight="true" outlineLevel="0" collapsed="false">
      <c r="A30" s="329" t="s">
        <v>1117</v>
      </c>
      <c r="B30" s="330" t="n">
        <f aca="false">B9+B16+B23</f>
        <v>-735311.322547972</v>
      </c>
      <c r="C30" s="330" t="n">
        <f aca="false">IFERROR(C9+C16+C23,0)</f>
        <v>0</v>
      </c>
      <c r="D30" s="330" t="n">
        <f aca="false">IFERROR(D9+D16+D23,0)</f>
        <v>-735311.322547972</v>
      </c>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c r="AD30" s="291"/>
      <c r="AE30" s="291"/>
      <c r="AF30" s="291"/>
      <c r="AG30" s="291"/>
      <c r="AH30" s="291"/>
      <c r="AI30" s="291"/>
      <c r="AJ30" s="291"/>
      <c r="AK30" s="291"/>
      <c r="AL30" s="291"/>
      <c r="AM30" s="291"/>
      <c r="AN30" s="291"/>
      <c r="AO30" s="291"/>
      <c r="AP30" s="291"/>
      <c r="AQ30" s="291"/>
      <c r="AR30" s="291"/>
      <c r="AS30" s="291"/>
      <c r="AT30" s="291"/>
      <c r="AU30" s="291"/>
      <c r="AV30" s="291"/>
      <c r="AW30" s="291"/>
      <c r="AX30" s="291"/>
      <c r="AY30" s="291"/>
      <c r="AZ30" s="291"/>
      <c r="BA30" s="291"/>
      <c r="BB30" s="291"/>
      <c r="BC30" s="291"/>
      <c r="BD30" s="291"/>
      <c r="BE30" s="291"/>
      <c r="BF30" s="291"/>
      <c r="BG30" s="291"/>
      <c r="BH30" s="291"/>
      <c r="BI30" s="291"/>
      <c r="BJ30" s="291"/>
      <c r="BK30" s="291"/>
      <c r="BL30" s="291"/>
      <c r="BM30" s="291"/>
      <c r="BN30" s="291"/>
      <c r="BO30" s="291"/>
      <c r="BP30" s="291"/>
      <c r="BQ30" s="291"/>
      <c r="BR30" s="291"/>
      <c r="BS30" s="291"/>
      <c r="BT30" s="291"/>
      <c r="BU30" s="291"/>
      <c r="BV30" s="291"/>
      <c r="BW30" s="291"/>
      <c r="BX30" s="291"/>
      <c r="BY30" s="291"/>
      <c r="BZ30" s="291"/>
      <c r="CA30" s="291"/>
      <c r="CB30" s="291"/>
      <c r="CC30" s="291"/>
      <c r="CD30" s="291"/>
      <c r="CE30" s="291"/>
      <c r="CF30" s="291"/>
      <c r="CG30" s="291"/>
      <c r="CH30" s="291"/>
    </row>
    <row r="31" customFormat="false" ht="15" hidden="false" customHeight="true" outlineLevel="0" collapsed="false">
      <c r="A31" s="97" t="s">
        <v>1118</v>
      </c>
      <c r="B31" s="311" t="n">
        <f aca="false">B10+B17+B24</f>
        <v>235450.007452028</v>
      </c>
      <c r="C31" s="311" t="n">
        <f aca="false">IFERROR(C10+C17+C24,0)</f>
        <v>4271973</v>
      </c>
      <c r="D31" s="311" t="n">
        <f aca="false">IFERROR(D10+D17+D24,0)</f>
        <v>4507423.00745203</v>
      </c>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c r="AD31" s="291"/>
      <c r="AE31" s="291"/>
      <c r="AF31" s="291"/>
      <c r="AG31" s="291"/>
      <c r="AH31" s="291"/>
      <c r="AI31" s="291"/>
      <c r="AJ31" s="291"/>
      <c r="AK31" s="291"/>
      <c r="AL31" s="291"/>
      <c r="AM31" s="291"/>
      <c r="AN31" s="291"/>
      <c r="AO31" s="291"/>
      <c r="AP31" s="291"/>
      <c r="AQ31" s="291"/>
      <c r="AR31" s="291"/>
      <c r="AS31" s="291"/>
      <c r="AT31" s="291"/>
      <c r="AU31" s="291"/>
      <c r="AV31" s="291"/>
      <c r="AW31" s="291"/>
      <c r="AX31" s="291"/>
      <c r="AY31" s="291"/>
      <c r="AZ31" s="291"/>
      <c r="BA31" s="291"/>
      <c r="BB31" s="291"/>
      <c r="BC31" s="291"/>
      <c r="BD31" s="291"/>
      <c r="BE31" s="291"/>
      <c r="BF31" s="291"/>
      <c r="BG31" s="291"/>
      <c r="BH31" s="291"/>
      <c r="BI31" s="291"/>
      <c r="BJ31" s="291"/>
      <c r="BK31" s="291"/>
      <c r="BL31" s="291"/>
      <c r="BM31" s="291"/>
      <c r="BN31" s="291"/>
      <c r="BO31" s="291"/>
      <c r="BP31" s="291"/>
      <c r="BQ31" s="291"/>
      <c r="BR31" s="291"/>
      <c r="BS31" s="291"/>
      <c r="BT31" s="291"/>
      <c r="BU31" s="291"/>
      <c r="BV31" s="291"/>
      <c r="BW31" s="291"/>
      <c r="BX31" s="291"/>
      <c r="BY31" s="291"/>
      <c r="BZ31" s="291"/>
      <c r="CA31" s="291"/>
      <c r="CB31" s="291"/>
      <c r="CC31" s="291"/>
      <c r="CD31" s="291"/>
      <c r="CE31" s="291"/>
      <c r="CF31" s="291"/>
      <c r="CG31" s="291"/>
      <c r="CH31" s="291"/>
    </row>
    <row r="32" customFormat="false" ht="15" hidden="false" customHeight="true" outlineLevel="0" collapsed="false">
      <c r="A32" s="331"/>
      <c r="B32" s="332"/>
      <c r="C32" s="332"/>
      <c r="D32" s="332"/>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90"/>
      <c r="B33" s="322"/>
      <c r="C33" s="322"/>
      <c r="D33" s="322"/>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c r="AD33" s="291"/>
      <c r="AE33" s="291"/>
      <c r="AF33" s="291"/>
      <c r="AG33" s="291"/>
      <c r="AH33" s="291"/>
      <c r="AI33" s="291"/>
      <c r="AJ33" s="291"/>
      <c r="AK33" s="291"/>
      <c r="AL33" s="291"/>
      <c r="AM33" s="291"/>
      <c r="AN33" s="291"/>
      <c r="AO33" s="291"/>
      <c r="AP33" s="291"/>
      <c r="AQ33" s="291"/>
      <c r="AR33" s="291"/>
      <c r="AS33" s="291"/>
      <c r="AT33" s="291"/>
      <c r="AU33" s="291"/>
      <c r="AV33" s="291"/>
      <c r="AW33" s="291"/>
      <c r="AX33" s="291"/>
      <c r="AY33" s="291"/>
      <c r="AZ33" s="291"/>
      <c r="BA33" s="291"/>
      <c r="BB33" s="291"/>
      <c r="BC33" s="291"/>
      <c r="BD33" s="291"/>
      <c r="BE33" s="291"/>
      <c r="BF33" s="291"/>
      <c r="BG33" s="291"/>
      <c r="BH33" s="291"/>
      <c r="BI33" s="291"/>
      <c r="BJ33" s="291"/>
      <c r="BK33" s="291"/>
      <c r="BL33" s="291"/>
      <c r="BM33" s="291"/>
      <c r="BN33" s="291"/>
      <c r="BO33" s="291"/>
      <c r="BP33" s="291"/>
      <c r="BQ33" s="291"/>
      <c r="BR33" s="291"/>
      <c r="BS33" s="291"/>
      <c r="BT33" s="291"/>
      <c r="BU33" s="291"/>
      <c r="BV33" s="291"/>
      <c r="BW33" s="291"/>
      <c r="BX33" s="291"/>
      <c r="BY33" s="291"/>
      <c r="BZ33" s="291"/>
      <c r="CA33" s="291"/>
      <c r="CB33" s="291"/>
      <c r="CC33" s="291"/>
      <c r="CD33" s="291"/>
      <c r="CE33" s="291"/>
      <c r="CF33" s="291"/>
      <c r="CG33" s="291"/>
      <c r="CH33" s="291"/>
    </row>
    <row r="34" customFormat="false" ht="15" hidden="false" customHeight="true" outlineLevel="0" collapsed="false">
      <c r="A34" s="331"/>
      <c r="B34" s="332"/>
      <c r="C34" s="332"/>
      <c r="D34" s="332"/>
    </row>
    <row r="35" customFormat="false" ht="15" hidden="false" customHeight="true" outlineLevel="0" collapsed="false">
      <c r="A35" s="306"/>
      <c r="B35" s="307"/>
      <c r="C35" s="307"/>
      <c r="D35" s="307"/>
    </row>
    <row r="37" customFormat="false" ht="15" hidden="false" customHeight="true" outlineLevel="0" collapsed="false">
      <c r="A37" s="333"/>
    </row>
    <row r="38" customFormat="false" ht="15" hidden="false" customHeight="true" outlineLevel="0" collapsed="false">
      <c r="A38" s="334"/>
    </row>
    <row r="39" customFormat="false" ht="15" hidden="false" customHeight="true" outlineLevel="0" collapsed="false">
      <c r="A39" s="334"/>
    </row>
    <row r="40" customFormat="false" ht="15" hidden="false" customHeight="true" outlineLevel="0" collapsed="false">
      <c r="A40" s="334" t="s">
        <v>1119</v>
      </c>
    </row>
    <row r="41" customFormat="false" ht="15" hidden="false" customHeight="true" outlineLevel="0" collapsed="false">
      <c r="A41" s="334" t="s">
        <v>1120</v>
      </c>
    </row>
    <row r="42" customFormat="false" ht="15" hidden="false" customHeight="true" outlineLevel="0" collapsed="false">
      <c r="A42" s="334" t="s">
        <v>1121</v>
      </c>
    </row>
    <row r="43" customFormat="false" ht="15" hidden="false" customHeight="true" outlineLevel="0" collapsed="false">
      <c r="A43" s="334" t="s">
        <v>1122</v>
      </c>
    </row>
    <row r="44" customFormat="false" ht="15" hidden="false" customHeight="true" outlineLevel="0" collapsed="false">
      <c r="A44" s="334" t="s">
        <v>1123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30468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1124</v>
      </c>
    </row>
    <row r="2" customFormat="false" ht="15" hidden="false" customHeight="true" outlineLevel="0" collapsed="false">
      <c r="A2" s="90" t="s">
        <v>1125</v>
      </c>
      <c r="B2" s="335" t="n">
        <v>0.0025</v>
      </c>
    </row>
    <row r="3" customFormat="false" ht="15" hidden="false" customHeight="true" outlineLevel="0" collapsed="false">
      <c r="A3" s="90" t="s">
        <v>1126</v>
      </c>
      <c r="B3" s="336" t="n">
        <v>0.1</v>
      </c>
    </row>
    <row r="4" customFormat="false" ht="15" hidden="false" customHeight="true" outlineLevel="0" collapsed="false"/>
    <row r="5" customFormat="false" ht="30" hidden="false" customHeight="true" outlineLevel="0" collapsed="false">
      <c r="A5" s="337" t="s">
        <v>1127</v>
      </c>
      <c r="B5" s="337" t="s">
        <v>1128</v>
      </c>
      <c r="C5" s="337" t="s">
        <v>1129</v>
      </c>
      <c r="D5" s="338" t="s">
        <v>1130</v>
      </c>
      <c r="E5" s="338" t="s">
        <v>1131</v>
      </c>
      <c r="F5" s="338" t="s">
        <v>1132</v>
      </c>
      <c r="G5" s="339" t="s">
        <v>575</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40"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40"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40"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40"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40"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40"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40"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40"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40" t="n">
        <f aca="false">IF(F14&gt;=Assumptions!$B$86,Assumptions!$C$86,IF(F14&gt;=Assumptions!$B$85,Assumptions!$C$85,IF(F14&gt;=Assumptions!$B$84,Assumptions!$C$84,Assumptions!$C$83)))</f>
        <v>0.25</v>
      </c>
    </row>
    <row r="15" customFormat="false" ht="15" hidden="false" customHeight="true" outlineLevel="0" collapsed="false">
      <c r="A15" s="341"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41" t="s">
        <v>1133</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403247.629666667</v>
      </c>
      <c r="M16" s="104" t="n">
        <f aca="false">-SUM(Model!L203:L233)-Model!L235</f>
        <v>395747.629666667</v>
      </c>
      <c r="N16" s="104" t="n">
        <f aca="false">-SUM(Model!M203:M233)-Model!M235</f>
        <v>497587.629666667</v>
      </c>
      <c r="O16" s="104" t="n">
        <f aca="false">-SUM(Model!N203:N233)-Model!N235</f>
        <v>416147.838</v>
      </c>
      <c r="P16" s="104" t="n">
        <f aca="false">-SUM(Model!O203:O233)-Model!O235</f>
        <v>437116.588</v>
      </c>
      <c r="Q16" s="104" t="n">
        <f aca="false">-SUM(Model!P203:P233)-Model!P235</f>
        <v>404241.588</v>
      </c>
      <c r="R16" s="104" t="n">
        <f aca="false">-SUM(Model!Q203:Q233)-Model!Q235</f>
        <v>404241.588</v>
      </c>
      <c r="S16" s="104" t="n">
        <f aca="false">-SUM(Model!R203:R233)-Model!R235</f>
        <v>404241.588</v>
      </c>
      <c r="T16" s="104" t="n">
        <f aca="false">-SUM(Model!S203:S233)-Model!S235</f>
        <v>500697.838</v>
      </c>
      <c r="U16" s="104" t="n">
        <f aca="false">-SUM(Model!T203:T233)-Model!T235</f>
        <v>457572.838</v>
      </c>
      <c r="V16" s="104" t="n">
        <f aca="false">-SUM(Model!U203:U233)-Model!U235</f>
        <v>457572.838</v>
      </c>
      <c r="W16" s="104" t="n">
        <f aca="false">-SUM(Model!V203:V233)-Model!V235</f>
        <v>457572.838</v>
      </c>
      <c r="X16" s="104" t="n">
        <f aca="false">-SUM(Model!W203:W233)-Model!W235</f>
        <v>457572.838</v>
      </c>
      <c r="Y16" s="104" t="n">
        <f aca="false">-SUM(Model!X203:X233)-Model!X235</f>
        <v>457572.838</v>
      </c>
      <c r="Z16" s="104" t="n">
        <f aca="false">-SUM(Model!Y203:Y233)-Model!Y235</f>
        <v>657572.838</v>
      </c>
      <c r="AA16" s="104" t="n">
        <f aca="false">-SUM(Model!Z203:Z233)-Model!Z235</f>
        <v>462766.537067692</v>
      </c>
      <c r="AB16" s="104" t="n">
        <f aca="false">-SUM(Model!AA203:AA233)-Model!AA235</f>
        <v>440458.84476</v>
      </c>
      <c r="AC16" s="104" t="n">
        <f aca="false">-SUM(Model!AB203:AB233)-Model!AB235</f>
        <v>435419.496683077</v>
      </c>
      <c r="AD16" s="104" t="n">
        <f aca="false">-SUM(Model!AC203:AC233)-Model!AC235</f>
        <v>413496.41976</v>
      </c>
      <c r="AE16" s="104" t="n">
        <f aca="false">-SUM(Model!AD203:AD233)-Model!AD235</f>
        <v>408457.071683077</v>
      </c>
      <c r="AF16" s="104" t="n">
        <f aca="false">-SUM(Model!AE203:AE233)-Model!AE235</f>
        <v>386533.99476</v>
      </c>
      <c r="AG16" s="104" t="n">
        <f aca="false">-SUM(Model!AF203:AF233)-Model!AF235</f>
        <v>386533.99476</v>
      </c>
      <c r="AH16" s="104" t="n">
        <f aca="false">-SUM(Model!AG203:AG233)-Model!AG235</f>
        <v>386533.99476</v>
      </c>
      <c r="AI16" s="104" t="n">
        <f aca="false">-SUM(Model!AH203:AH233)-Model!AH235</f>
        <v>386533.99476</v>
      </c>
      <c r="AJ16" s="104" t="n">
        <f aca="false">-SUM(Model!AI203:AI233)-Model!AI235</f>
        <v>386533.99476</v>
      </c>
      <c r="AK16" s="104" t="n">
        <f aca="false">-SUM(Model!AJ203:AJ233)-Model!AJ235</f>
        <v>386533.99476</v>
      </c>
      <c r="AL16" s="104" t="n">
        <f aca="false">-SUM(Model!AK203:AK233)-Model!AK235</f>
        <v>586533.99476</v>
      </c>
      <c r="AM16" s="104" t="n">
        <f aca="false">-SUM(Model!AL203:AL233)-Model!AL235</f>
        <v>393853.6746552</v>
      </c>
      <c r="AN16" s="104" t="n">
        <f aca="false">-SUM(Model!AM203:AM233)-Model!AM235</f>
        <v>393853.6746552</v>
      </c>
      <c r="AO16" s="104" t="n">
        <f aca="false">-SUM(Model!AN203:AN233)-Model!AN235</f>
        <v>393853.6746552</v>
      </c>
      <c r="AP16" s="104" t="n">
        <f aca="false">-SUM(Model!AO203:AO233)-Model!AO235</f>
        <v>393853.6746552</v>
      </c>
      <c r="AQ16" s="104" t="n">
        <f aca="false">-SUM(Model!AP203:AP233)-Model!AP235</f>
        <v>393853.6746552</v>
      </c>
      <c r="AR16" s="104" t="n">
        <f aca="false">-SUM(Model!AQ203:AQ233)-Model!AQ235</f>
        <v>393853.6746552</v>
      </c>
      <c r="AS16" s="104" t="n">
        <f aca="false">-SUM(Model!AR203:AR233)-Model!AR235</f>
        <v>393853.6746552</v>
      </c>
      <c r="AT16" s="104" t="n">
        <f aca="false">-SUM(Model!AS203:AS233)-Model!AS235</f>
        <v>393853.6746552</v>
      </c>
      <c r="AU16" s="104" t="n">
        <f aca="false">-SUM(Model!AT203:AT233)-Model!AT235</f>
        <v>393853.6746552</v>
      </c>
      <c r="AV16" s="104" t="n">
        <f aca="false">-SUM(Model!AU203:AU233)-Model!AU235</f>
        <v>393853.6746552</v>
      </c>
      <c r="AW16" s="104" t="n">
        <f aca="false">-SUM(Model!AV203:AV233)-Model!AV235</f>
        <v>393853.6746552</v>
      </c>
      <c r="AX16" s="104" t="n">
        <f aca="false">-SUM(Model!AW203:AW233)-Model!AW235</f>
        <v>593853.6746552</v>
      </c>
      <c r="AY16" s="104" t="n">
        <f aca="false">-SUM(Model!AX203:AX233)-Model!AX235</f>
        <v>401319.748148304</v>
      </c>
      <c r="AZ16" s="104" t="n">
        <f aca="false">-SUM(Model!AY203:AY233)-Model!AY235</f>
        <v>401319.748148304</v>
      </c>
      <c r="BA16" s="104" t="n">
        <f aca="false">-SUM(Model!AZ203:AZ233)-Model!AZ235</f>
        <v>401319.748148304</v>
      </c>
      <c r="BB16" s="104" t="n">
        <f aca="false">-SUM(Model!BA203:BA233)-Model!BA235</f>
        <v>401319.748148304</v>
      </c>
      <c r="BC16" s="104" t="n">
        <f aca="false">-SUM(Model!BB203:BB233)-Model!BB235</f>
        <v>401319.748148304</v>
      </c>
      <c r="BD16" s="104" t="n">
        <f aca="false">-SUM(Model!BC203:BC233)-Model!BC235</f>
        <v>401319.748148304</v>
      </c>
      <c r="BE16" s="104" t="n">
        <f aca="false">-SUM(Model!BD203:BD233)-Model!BD235</f>
        <v>401319.748148304</v>
      </c>
      <c r="BF16" s="104" t="n">
        <f aca="false">-SUM(Model!BE203:BE233)-Model!BE235</f>
        <v>401319.748148304</v>
      </c>
      <c r="BG16" s="104" t="n">
        <f aca="false">-SUM(Model!BF203:BF233)-Model!BF235</f>
        <v>401319.748148304</v>
      </c>
      <c r="BH16" s="104" t="n">
        <f aca="false">-SUM(Model!BG203:BG233)-Model!BG235</f>
        <v>401319.748148304</v>
      </c>
      <c r="BI16" s="104" t="n">
        <f aca="false">-SUM(Model!BH203:BH233)-Model!BH235</f>
        <v>401319.748148304</v>
      </c>
      <c r="BJ16" s="104" t="n">
        <f aca="false">-SUM(Model!BI203:BI233)-Model!BI235</f>
        <v>601319.748148304</v>
      </c>
      <c r="BK16" s="104" t="n">
        <f aca="false">-SUM(Model!BJ203:BJ233)-Model!BJ235</f>
        <v>408935.14311127</v>
      </c>
      <c r="BL16" s="104" t="n">
        <f aca="false">-SUM(Model!BK203:BK233)-Model!BK235</f>
        <v>408935.14311127</v>
      </c>
      <c r="BM16" s="104" t="n">
        <f aca="false">-SUM(Model!BL203:BL233)-Model!BL235</f>
        <v>408935.14311127</v>
      </c>
      <c r="BN16" s="104" t="n">
        <f aca="false">-SUM(Model!BM203:BM233)-Model!BM235</f>
        <v>408935.14311127</v>
      </c>
      <c r="BO16" s="104" t="n">
        <f aca="false">-SUM(Model!BN203:BN233)-Model!BN235</f>
        <v>408935.14311127</v>
      </c>
      <c r="BP16" s="104" t="n">
        <f aca="false">-SUM(Model!BO203:BO233)-Model!BO235</f>
        <v>408935.14311127</v>
      </c>
      <c r="BQ16" s="104" t="n">
        <f aca="false">-SUM(Model!BP203:BP233)-Model!BP235</f>
        <v>408935.14311127</v>
      </c>
      <c r="BR16" s="104" t="n">
        <f aca="false">-SUM(Model!BQ203:BQ233)-Model!BQ235</f>
        <v>408935.14311127</v>
      </c>
      <c r="BS16" s="104" t="n">
        <f aca="false">-SUM(Model!BR203:BR233)-Model!BR235</f>
        <v>408935.14311127</v>
      </c>
      <c r="BT16" s="104" t="n">
        <f aca="false">-SUM(Model!BS203:BS233)-Model!BS235</f>
        <v>408935.14311127</v>
      </c>
      <c r="BU16" s="104" t="n">
        <f aca="false">-SUM(Model!BT203:BT233)-Model!BT235</f>
        <v>408935.14311127</v>
      </c>
      <c r="BV16" s="104" t="n">
        <f aca="false">-SUM(Model!BU203:BU233)-Model!BU235</f>
        <v>608935.14311127</v>
      </c>
      <c r="BW16" s="104" t="n">
        <f aca="false">-SUM(Model!BV203:BV233)-Model!BV235</f>
        <v>416702.845973495</v>
      </c>
      <c r="BX16" s="104" t="n">
        <f aca="false">-SUM(Model!BW203:BW233)-Model!BW235</f>
        <v>416702.845973495</v>
      </c>
      <c r="BY16" s="104" t="n">
        <f aca="false">-SUM(Model!BX203:BX233)-Model!BX235</f>
        <v>416702.845973495</v>
      </c>
      <c r="BZ16" s="104" t="n">
        <f aca="false">-SUM(Model!BY203:BY233)-Model!BY235</f>
        <v>416702.845973495</v>
      </c>
      <c r="CA16" s="104" t="n">
        <f aca="false">-SUM(Model!BZ203:BZ233)-Model!BZ235</f>
        <v>416702.845973495</v>
      </c>
      <c r="CB16" s="104" t="n">
        <f aca="false">-SUM(Model!CA203:CA233)-Model!CA235</f>
        <v>416702.845973495</v>
      </c>
      <c r="CC16" s="104" t="n">
        <f aca="false">-SUM(Model!CB203:CB233)-Model!CB235</f>
        <v>416702.845973495</v>
      </c>
      <c r="CD16" s="104" t="n">
        <f aca="false">-SUM(Model!CC203:CC233)-Model!CC235</f>
        <v>416702.845973495</v>
      </c>
      <c r="CE16" s="104" t="n">
        <f aca="false">-SUM(Model!CD203:CD233)-Model!CD235</f>
        <v>416702.845973495</v>
      </c>
      <c r="CF16" s="104" t="n">
        <f aca="false">-SUM(Model!CE203:CE233)-Model!CE235</f>
        <v>416702.845973495</v>
      </c>
      <c r="CG16" s="104" t="n">
        <f aca="false">-SUM(Model!CF203:CF233)-Model!CF235</f>
        <v>416702.845973495</v>
      </c>
      <c r="CH16" s="104" t="n">
        <f aca="false">-SUM(Model!CG203:CG233)-Model!CG235</f>
        <v>616702.845973496</v>
      </c>
      <c r="CI16" s="104" t="n">
        <f aca="false">-SUM(Model!CH203:CH233)-Model!CH235</f>
        <v>424625.902892966</v>
      </c>
      <c r="CJ16" s="104" t="n">
        <f aca="false">-SUM(Model!CI203:CI233)-Model!CI235</f>
        <v>424625.902892966</v>
      </c>
      <c r="CK16" s="104" t="n">
        <f aca="false">-SUM(Model!CJ203:CJ233)-Model!CJ235</f>
        <v>424625.902892966</v>
      </c>
      <c r="CL16" s="104" t="n">
        <f aca="false">-SUM(Model!CK203:CK233)-Model!CK235</f>
        <v>424625.902892966</v>
      </c>
      <c r="CM16" s="104" t="n">
        <f aca="false">-SUM(Model!CL203:CL233)-Model!CL235</f>
        <v>424625.902892966</v>
      </c>
      <c r="CN16" s="104" t="n">
        <f aca="false">-SUM(Model!CM203:CM233)-Model!CM235</f>
        <v>424625.902892966</v>
      </c>
      <c r="CO16" s="104" t="n">
        <f aca="false">-SUM(Model!CN203:CN233)-Model!CN235</f>
        <v>424625.902892966</v>
      </c>
      <c r="CP16" s="104" t="n">
        <f aca="false">-SUM(Model!CO203:CO233)-Model!CO235</f>
        <v>424625.902892966</v>
      </c>
      <c r="CQ16" s="104" t="n">
        <f aca="false">-SUM(Model!CP203:CP233)-Model!CP235</f>
        <v>424625.902892966</v>
      </c>
      <c r="CR16" s="104" t="n">
        <f aca="false">-SUM(Model!CQ203:CQ233)-Model!CQ235</f>
        <v>424625.902892966</v>
      </c>
      <c r="CS16" s="104" t="n">
        <f aca="false">-SUM(Model!CR203:CR233)-Model!CR235</f>
        <v>424625.902892966</v>
      </c>
      <c r="CT16" s="104" t="n">
        <f aca="false">-SUM(Model!CS203:CS233)-Model!CS235</f>
        <v>624625.902892965</v>
      </c>
      <c r="CU16" s="104" t="n">
        <f aca="false">-SUM(Model!CT203:CT233)-Model!CT235</f>
        <v>392165.313083151</v>
      </c>
      <c r="CV16" s="104" t="n">
        <f aca="false">-SUM(Model!CU203:CU233)-Model!CU235</f>
        <v>392165.313083151</v>
      </c>
      <c r="CW16" s="104" t="n">
        <f aca="false">-SUM(Model!CV203:CV233)-Model!CV235</f>
        <v>392165.313083151</v>
      </c>
      <c r="CX16" s="104" t="n">
        <f aca="false">-SUM(Model!CW203:CW233)-Model!CW235</f>
        <v>392165.313083151</v>
      </c>
      <c r="CY16" s="104" t="n">
        <f aca="false">-SUM(Model!CX203:CX233)-Model!CX235</f>
        <v>392165.313083151</v>
      </c>
      <c r="CZ16" s="104" t="n">
        <f aca="false">-SUM(Model!CY203:CY233)-Model!CY235</f>
        <v>392165.313083151</v>
      </c>
      <c r="DA16" s="104" t="n">
        <f aca="false">-SUM(Model!CZ203:CZ233)-Model!CZ235</f>
        <v>392165.313083151</v>
      </c>
      <c r="DB16" s="104" t="n">
        <f aca="false">-SUM(Model!DA203:DA233)-Model!DA235</f>
        <v>392165.313083151</v>
      </c>
      <c r="DC16" s="104" t="n">
        <f aca="false">-SUM(Model!DB203:DB233)-Model!DB235</f>
        <v>392165.313083151</v>
      </c>
      <c r="DD16" s="104" t="n">
        <f aca="false">-SUM(Model!DC203:DC233)-Model!DC235</f>
        <v>392165.313083151</v>
      </c>
      <c r="DE16" s="104" t="n">
        <f aca="false">-SUM(Model!DD203:DD233)-Model!DD235</f>
        <v>392165.313083151</v>
      </c>
      <c r="DF16" s="104" t="n">
        <f aca="false">-SUM(Model!DE203:DE233)-Model!DE235</f>
        <v>592165.313083151</v>
      </c>
    </row>
    <row r="17" customFormat="false" ht="15" hidden="false" customHeight="true" outlineLevel="0" collapsed="false">
      <c r="A17" s="341" t="s">
        <v>1134</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4</v>
      </c>
      <c r="P17" s="9" t="n">
        <f aca="false">SUMPRODUCT((Projects!$G$2:$G$14="Yes")*(P$15&gt;=Projects!$C$2:$C$14)*(P$15&lt;Projects!$C$2:$C$14+Projects!$D$2:$D$14))+SUMPRODUCT((Projects!$G$17:$G$46="Yes")*(P$15&gt;=Projects!$C$17:$C$46)*(P$15&lt;Projects!$C$17:$C$46+Projects!$D$17:$D$46))</f>
        <v>5</v>
      </c>
      <c r="Q17" s="9" t="n">
        <f aca="false">SUMPRODUCT((Projects!$G$2:$G$14="Yes")*(Q$15&gt;=Projects!$C$2:$C$14)*(Q$15&lt;Projects!$C$2:$C$14+Projects!$D$2:$D$14))+SUMPRODUCT((Projects!$G$17:$G$46="Yes")*(Q$15&gt;=Projects!$C$17:$C$46)*(Q$15&lt;Projects!$C$17:$C$46+Projects!$D$17:$D$46))</f>
        <v>5</v>
      </c>
      <c r="R17" s="9" t="n">
        <f aca="false">SUMPRODUCT((Projects!$G$2:$G$14="Yes")*(R$15&gt;=Projects!$C$2:$C$14)*(R$15&lt;Projects!$C$2:$C$14+Projects!$D$2:$D$14))+SUMPRODUCT((Projects!$G$17:$G$46="Yes")*(R$15&gt;=Projects!$C$17:$C$46)*(R$15&lt;Projects!$C$17:$C$46+Projects!$D$17:$D$46))</f>
        <v>5</v>
      </c>
      <c r="S17" s="9" t="n">
        <f aca="false">SUMPRODUCT((Projects!$G$2:$G$14="Yes")*(S$15&gt;=Projects!$C$2:$C$14)*(S$15&lt;Projects!$C$2:$C$14+Projects!$D$2:$D$14))+SUMPRODUCT((Projects!$G$17:$G$46="Yes")*(S$15&gt;=Projects!$C$17:$C$46)*(S$15&lt;Projects!$C$17:$C$46+Projects!$D$17:$D$46))</f>
        <v>5</v>
      </c>
      <c r="T17" s="9" t="n">
        <f aca="false">SUMPRODUCT((Projects!$G$2:$G$14="Yes")*(T$15&gt;=Projects!$C$2:$C$14)*(T$15&lt;Projects!$C$2:$C$14+Projects!$D$2:$D$14))+SUMPRODUCT((Projects!$G$17:$G$46="Yes")*(T$15&gt;=Projects!$C$17:$C$46)*(T$15&lt;Projects!$C$17:$C$46+Projects!$D$17:$D$46))</f>
        <v>7</v>
      </c>
      <c r="U17" s="9" t="n">
        <f aca="false">SUMPRODUCT((Projects!$G$2:$G$14="Yes")*(U$15&gt;=Projects!$C$2:$C$14)*(U$15&lt;Projects!$C$2:$C$14+Projects!$D$2:$D$14))+SUMPRODUCT((Projects!$G$17:$G$46="Yes")*(U$15&gt;=Projects!$C$17:$C$46)*(U$15&lt;Projects!$C$17:$C$46+Projects!$D$17:$D$46))</f>
        <v>7</v>
      </c>
      <c r="V17" s="9" t="n">
        <f aca="false">SUMPRODUCT((Projects!$G$2:$G$14="Yes")*(V$15&gt;=Projects!$C$2:$C$14)*(V$15&lt;Projects!$C$2:$C$14+Projects!$D$2:$D$14))+SUMPRODUCT((Projects!$G$17:$G$46="Yes")*(V$15&gt;=Projects!$C$17:$C$46)*(V$15&lt;Projects!$C$17:$C$46+Projects!$D$17:$D$46))</f>
        <v>7</v>
      </c>
      <c r="W17" s="9" t="n">
        <f aca="false">SUMPRODUCT((Projects!$G$2:$G$14="Yes")*(W$15&gt;=Projects!$C$2:$C$14)*(W$15&lt;Projects!$C$2:$C$14+Projects!$D$2:$D$14))+SUMPRODUCT((Projects!$G$17:$G$46="Yes")*(W$15&gt;=Projects!$C$17:$C$46)*(W$15&lt;Projects!$C$17:$C$46+Projects!$D$17:$D$46))</f>
        <v>7</v>
      </c>
      <c r="X17" s="9" t="n">
        <f aca="false">SUMPRODUCT((Projects!$G$2:$G$14="Yes")*(X$15&gt;=Projects!$C$2:$C$14)*(X$15&lt;Projects!$C$2:$C$14+Projects!$D$2:$D$14))+SUMPRODUCT((Projects!$G$17:$G$46="Yes")*(X$15&gt;=Projects!$C$17:$C$46)*(X$15&lt;Projects!$C$17:$C$46+Projects!$D$17:$D$46))</f>
        <v>7</v>
      </c>
      <c r="Y17" s="9" t="n">
        <f aca="false">SUMPRODUCT((Projects!$G$2:$G$14="Yes")*(Y$15&gt;=Projects!$C$2:$C$14)*(Y$15&lt;Projects!$C$2:$C$14+Projects!$D$2:$D$14))+SUMPRODUCT((Projects!$G$17:$G$46="Yes")*(Y$15&gt;=Projects!$C$17:$C$46)*(Y$15&lt;Projects!$C$17:$C$46+Projects!$D$17:$D$46))</f>
        <v>7</v>
      </c>
      <c r="Z17" s="9" t="n">
        <f aca="false">SUMPRODUCT((Projects!$G$2:$G$14="Yes")*(Z$15&gt;=Projects!$C$2:$C$14)*(Z$15&lt;Projects!$C$2:$C$14+Projects!$D$2:$D$14))+SUMPRODUCT((Projects!$G$17:$G$46="Yes")*(Z$15&gt;=Projects!$C$17:$C$46)*(Z$15&lt;Projects!$C$17:$C$46+Projects!$D$17:$D$46))</f>
        <v>7</v>
      </c>
      <c r="AA17" s="9" t="n">
        <f aca="false">SUMPRODUCT((Projects!$G$2:$G$14="Yes")*(AA$15&gt;=Projects!$C$2:$C$14)*(AA$15&lt;Projects!$C$2:$C$14+Projects!$D$2:$D$14))+SUMPRODUCT((Projects!$G$17:$G$46="Yes")*(AA$15&gt;=Projects!$C$17:$C$46)*(AA$15&lt;Projects!$C$17:$C$46+Projects!$D$17:$D$46))</f>
        <v>7</v>
      </c>
      <c r="AB17" s="9" t="n">
        <f aca="false">SUMPRODUCT((Projects!$G$2:$G$14="Yes")*(AB$15&gt;=Projects!$C$2:$C$14)*(AB$15&lt;Projects!$C$2:$C$14+Projects!$D$2:$D$14))+SUMPRODUCT((Projects!$G$17:$G$46="Yes")*(AB$15&gt;=Projects!$C$17:$C$46)*(AB$15&lt;Projects!$C$17:$C$46+Projects!$D$17:$D$46))</f>
        <v>7</v>
      </c>
      <c r="AC17" s="9" t="n">
        <f aca="false">SUMPRODUCT((Projects!$G$2:$G$14="Yes")*(AC$15&gt;=Projects!$C$2:$C$14)*(AC$15&lt;Projects!$C$2:$C$14+Projects!$D$2:$D$14))+SUMPRODUCT((Projects!$G$17:$G$46="Yes")*(AC$15&gt;=Projects!$C$17:$C$46)*(AC$15&lt;Projects!$C$17:$C$46+Projects!$D$17:$D$46))</f>
        <v>6</v>
      </c>
      <c r="AD17" s="9" t="n">
        <f aca="false">SUMPRODUCT((Projects!$G$2:$G$14="Yes")*(AD$15&gt;=Projects!$C$2:$C$14)*(AD$15&lt;Projects!$C$2:$C$14+Projects!$D$2:$D$14))+SUMPRODUCT((Projects!$G$17:$G$46="Yes")*(AD$15&gt;=Projects!$C$17:$C$46)*(AD$15&lt;Projects!$C$17:$C$46+Projects!$D$17:$D$46))</f>
        <v>5</v>
      </c>
      <c r="AE17" s="9" t="n">
        <f aca="false">SUMPRODUCT((Projects!$G$2:$G$14="Yes")*(AE$15&gt;=Projects!$C$2:$C$14)*(AE$15&lt;Projects!$C$2:$C$14+Projects!$D$2:$D$14))+SUMPRODUCT((Projects!$G$17:$G$46="Yes")*(AE$15&gt;=Projects!$C$17:$C$46)*(AE$15&lt;Projects!$C$17:$C$46+Projects!$D$17:$D$46))</f>
        <v>5</v>
      </c>
      <c r="AF17" s="9" t="n">
        <f aca="false">SUMPRODUCT((Projects!$G$2:$G$14="Yes")*(AF$15&gt;=Projects!$C$2:$C$14)*(AF$15&lt;Projects!$C$2:$C$14+Projects!$D$2:$D$14))+SUMPRODUCT((Projects!$G$17:$G$46="Yes")*(AF$15&gt;=Projects!$C$17:$C$46)*(AF$15&lt;Projects!$C$17:$C$46+Projects!$D$17:$D$46))</f>
        <v>5</v>
      </c>
      <c r="AG17" s="9" t="n">
        <f aca="false">SUMPRODUCT((Projects!$G$2:$G$14="Yes")*(AG$15&gt;=Projects!$C$2:$C$14)*(AG$15&lt;Projects!$C$2:$C$14+Projects!$D$2:$D$14))+SUMPRODUCT((Projects!$G$17:$G$46="Yes")*(AG$15&gt;=Projects!$C$17:$C$46)*(AG$15&lt;Projects!$C$17:$C$46+Projects!$D$17:$D$46))</f>
        <v>5</v>
      </c>
      <c r="AH17" s="9" t="n">
        <f aca="false">SUMPRODUCT((Projects!$G$2:$G$14="Yes")*(AH$15&gt;=Projects!$C$2:$C$14)*(AH$15&lt;Projects!$C$2:$C$14+Projects!$D$2:$D$14))+SUMPRODUCT((Projects!$G$17:$G$46="Yes")*(AH$15&gt;=Projects!$C$17:$C$46)*(AH$15&lt;Projects!$C$17:$C$46+Projects!$D$17:$D$46))</f>
        <v>3</v>
      </c>
      <c r="AI17" s="9" t="n">
        <f aca="false">SUMPRODUCT((Projects!$G$2:$G$14="Yes")*(AI$15&gt;=Projects!$C$2:$C$14)*(AI$15&lt;Projects!$C$2:$C$14+Projects!$D$2:$D$14))+SUMPRODUCT((Projects!$G$17:$G$46="Yes")*(AI$15&gt;=Projects!$C$17:$C$46)*(AI$15&lt;Projects!$C$17:$C$46+Projects!$D$17:$D$46))</f>
        <v>2</v>
      </c>
      <c r="AJ17" s="9" t="n">
        <f aca="false">SUMPRODUCT((Projects!$G$2:$G$14="Yes")*(AJ$15&gt;=Projects!$C$2:$C$14)*(AJ$15&lt;Projects!$C$2:$C$14+Projects!$D$2:$D$14))+SUMPRODUCT((Projects!$G$17:$G$46="Yes")*(AJ$15&gt;=Projects!$C$17:$C$46)*(AJ$15&lt;Projects!$C$17:$C$46+Projects!$D$17:$D$46))</f>
        <v>2</v>
      </c>
      <c r="AK17" s="9" t="n">
        <f aca="false">SUMPRODUCT((Projects!$G$2:$G$14="Yes")*(AK$15&gt;=Projects!$C$2:$C$14)*(AK$15&lt;Projects!$C$2:$C$14+Projects!$D$2:$D$14))+SUMPRODUCT((Projects!$G$17:$G$46="Yes")*(AK$15&gt;=Projects!$C$17:$C$46)*(AK$15&lt;Projects!$C$17:$C$46+Projects!$D$17:$D$46))</f>
        <v>2</v>
      </c>
      <c r="AL17" s="9" t="n">
        <f aca="false">SUMPRODUCT((Projects!$G$2:$G$14="Yes")*(AL$15&gt;=Projects!$C$2:$C$14)*(AL$15&lt;Projects!$C$2:$C$14+Projects!$D$2:$D$14))+SUMPRODUCT((Projects!$G$17:$G$46="Yes")*(AL$15&gt;=Projects!$C$17:$C$46)*(AL$15&lt;Projects!$C$17:$C$46+Projects!$D$17:$D$46))</f>
        <v>2</v>
      </c>
      <c r="AM17" s="9" t="n">
        <f aca="false">SUMPRODUCT((Projects!$G$2:$G$14="Yes")*(AM$15&gt;=Projects!$C$2:$C$14)*(AM$15&lt;Projects!$C$2:$C$14+Projects!$D$2:$D$14))+SUMPRODUCT((Projects!$G$17:$G$46="Yes")*(AM$15&gt;=Projects!$C$17:$C$46)*(AM$15&lt;Projects!$C$17:$C$46+Projects!$D$17:$D$46))</f>
        <v>2</v>
      </c>
      <c r="AN17" s="9" t="n">
        <f aca="false">SUMPRODUCT((Projects!$G$2:$G$14="Yes")*(AN$15&gt;=Projects!$C$2:$C$14)*(AN$15&lt;Projects!$C$2:$C$14+Projects!$D$2:$D$14))+SUMPRODUCT((Projects!$G$17:$G$46="Yes")*(AN$15&gt;=Projects!$C$17:$C$46)*(AN$15&lt;Projects!$C$17:$C$46+Projects!$D$17:$D$46))</f>
        <v>2</v>
      </c>
      <c r="AO17" s="9" t="n">
        <f aca="false">SUMPRODUCT((Projects!$G$2:$G$14="Yes")*(AO$15&gt;=Projects!$C$2:$C$14)*(AO$15&lt;Projects!$C$2:$C$14+Projects!$D$2:$D$14))+SUMPRODUCT((Projects!$G$17:$G$46="Yes")*(AO$15&gt;=Projects!$C$17:$C$46)*(AO$15&lt;Projects!$C$17:$C$46+Projects!$D$17:$D$46))</f>
        <v>2</v>
      </c>
      <c r="AP17" s="9" t="n">
        <f aca="false">SUMPRODUCT((Projects!$G$2:$G$14="Yes")*(AP$15&gt;=Projects!$C$2:$C$14)*(AP$15&lt;Projects!$C$2:$C$14+Projects!$D$2:$D$14))+SUMPRODUCT((Projects!$G$17:$G$46="Yes")*(AP$15&gt;=Projects!$C$17:$C$46)*(AP$15&lt;Projects!$C$17:$C$46+Projects!$D$17:$D$46))</f>
        <v>2</v>
      </c>
      <c r="AQ17" s="9" t="n">
        <f aca="false">SUMPRODUCT((Projects!$G$2:$G$14="Yes")*(AQ$15&gt;=Projects!$C$2:$C$14)*(AQ$15&lt;Projects!$C$2:$C$14+Projects!$D$2:$D$14))+SUMPRODUCT((Projects!$G$17:$G$46="Yes")*(AQ$15&gt;=Projects!$C$17:$C$46)*(AQ$15&lt;Projects!$C$17:$C$46+Projects!$D$17:$D$46))</f>
        <v>2</v>
      </c>
      <c r="AR17" s="9" t="n">
        <f aca="false">SUMPRODUCT((Projects!$G$2:$G$14="Yes")*(AR$15&gt;=Projects!$C$2:$C$14)*(AR$15&lt;Projects!$C$2:$C$14+Projects!$D$2:$D$14))+SUMPRODUCT((Projects!$G$17:$G$46="Yes")*(AR$15&gt;=Projects!$C$17:$C$46)*(AR$15&lt;Projects!$C$17:$C$46+Projects!$D$17:$D$46))</f>
        <v>1</v>
      </c>
      <c r="AS17" s="9" t="n">
        <f aca="false">SUMPRODUCT((Projects!$G$2:$G$14="Yes")*(AS$15&gt;=Projects!$C$2:$C$14)*(AS$15&lt;Projects!$C$2:$C$14+Projects!$D$2:$D$14))+SUMPRODUCT((Projects!$G$17:$G$46="Yes")*(AS$15&gt;=Projects!$C$17:$C$46)*(AS$15&lt;Projects!$C$17:$C$46+Projects!$D$17:$D$46))</f>
        <v>1</v>
      </c>
      <c r="AT17" s="9" t="n">
        <f aca="false">SUMPRODUCT((Projects!$G$2:$G$14="Yes")*(AT$15&gt;=Projects!$C$2:$C$14)*(AT$15&lt;Projects!$C$2:$C$14+Projects!$D$2:$D$14))+SUMPRODUCT((Projects!$G$17:$G$46="Yes")*(AT$15&gt;=Projects!$C$17:$C$46)*(AT$15&lt;Projects!$C$17:$C$46+Projects!$D$17:$D$46))</f>
        <v>1</v>
      </c>
      <c r="AU17" s="9" t="n">
        <f aca="false">SUMPRODUCT((Projects!$G$2:$G$14="Yes")*(AU$15&gt;=Projects!$C$2:$C$14)*(AU$15&lt;Projects!$C$2:$C$14+Projects!$D$2:$D$14))+SUMPRODUCT((Projects!$G$17:$G$46="Yes")*(AU$15&gt;=Projects!$C$17:$C$46)*(AU$15&lt;Projects!$C$17:$C$46+Projects!$D$17:$D$46))</f>
        <v>1</v>
      </c>
      <c r="AV17" s="9" t="n">
        <f aca="false">SUMPRODUCT((Projects!$G$2:$G$14="Yes")*(AV$15&gt;=Projects!$C$2:$C$14)*(AV$15&lt;Projects!$C$2:$C$14+Projects!$D$2:$D$14))+SUMPRODUCT((Projects!$G$17:$G$46="Yes")*(AV$15&gt;=Projects!$C$17:$C$46)*(AV$15&lt;Projects!$C$17:$C$46+Projects!$D$17:$D$46))</f>
        <v>1</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41" t="s">
        <v>1135</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134415.876555556</v>
      </c>
      <c r="M18" s="104" t="n">
        <f aca="false">IFERROR(M16/M17,0)</f>
        <v>131915.876555556</v>
      </c>
      <c r="N18" s="104" t="n">
        <f aca="false">IFERROR(N16/N17,0)</f>
        <v>165862.543222222</v>
      </c>
      <c r="O18" s="104" t="n">
        <f aca="false">IFERROR(O16/O17,0)</f>
        <v>104036.9595</v>
      </c>
      <c r="P18" s="104" t="n">
        <f aca="false">IFERROR(P16/P17,0)</f>
        <v>87423.3176</v>
      </c>
      <c r="Q18" s="104" t="n">
        <f aca="false">IFERROR(Q16/Q17,0)</f>
        <v>80848.3176</v>
      </c>
      <c r="R18" s="104" t="n">
        <f aca="false">IFERROR(R16/R17,0)</f>
        <v>80848.3176</v>
      </c>
      <c r="S18" s="104" t="n">
        <f aca="false">IFERROR(S16/S17,0)</f>
        <v>80848.3176</v>
      </c>
      <c r="T18" s="104" t="n">
        <f aca="false">IFERROR(T16/T17,0)</f>
        <v>71528.2625714286</v>
      </c>
      <c r="U18" s="104" t="n">
        <f aca="false">IFERROR(U16/U17,0)</f>
        <v>65367.5482857143</v>
      </c>
      <c r="V18" s="104" t="n">
        <f aca="false">IFERROR(V16/V17,0)</f>
        <v>65367.5482857143</v>
      </c>
      <c r="W18" s="104" t="n">
        <f aca="false">IFERROR(W16/W17,0)</f>
        <v>65367.5482857143</v>
      </c>
      <c r="X18" s="104" t="n">
        <f aca="false">IFERROR(X16/X17,0)</f>
        <v>65367.5482857143</v>
      </c>
      <c r="Y18" s="104" t="n">
        <f aca="false">IFERROR(Y16/Y17,0)</f>
        <v>65367.5482857143</v>
      </c>
      <c r="Z18" s="104" t="n">
        <f aca="false">IFERROR(Z16/Z17,0)</f>
        <v>93938.9768571428</v>
      </c>
      <c r="AA18" s="104" t="n">
        <f aca="false">IFERROR(AA16/AA17,0)</f>
        <v>66109.5052953846</v>
      </c>
      <c r="AB18" s="104" t="n">
        <f aca="false">IFERROR(AB16/AB17,0)</f>
        <v>62922.6921085714</v>
      </c>
      <c r="AC18" s="104" t="n">
        <f aca="false">IFERROR(AC16/AC17,0)</f>
        <v>72569.9161138461</v>
      </c>
      <c r="AD18" s="104" t="n">
        <f aca="false">IFERROR(AD16/AD17,0)</f>
        <v>82699.283952</v>
      </c>
      <c r="AE18" s="104" t="n">
        <f aca="false">IFERROR(AE16/AE17,0)</f>
        <v>81691.4143366154</v>
      </c>
      <c r="AF18" s="104" t="n">
        <f aca="false">IFERROR(AF16/AF17,0)</f>
        <v>77306.798952</v>
      </c>
      <c r="AG18" s="104" t="n">
        <f aca="false">IFERROR(AG16/AG17,0)</f>
        <v>77306.798952</v>
      </c>
      <c r="AH18" s="104" t="n">
        <f aca="false">IFERROR(AH16/AH17,0)</f>
        <v>128844.66492</v>
      </c>
      <c r="AI18" s="104" t="n">
        <f aca="false">IFERROR(AI16/AI17,0)</f>
        <v>193266.99738</v>
      </c>
      <c r="AJ18" s="104" t="n">
        <f aca="false">IFERROR(AJ16/AJ17,0)</f>
        <v>193266.99738</v>
      </c>
      <c r="AK18" s="104" t="n">
        <f aca="false">IFERROR(AK16/AK17,0)</f>
        <v>193266.99738</v>
      </c>
      <c r="AL18" s="104" t="n">
        <f aca="false">IFERROR(AL16/AL17,0)</f>
        <v>293266.99738</v>
      </c>
      <c r="AM18" s="104" t="n">
        <f aca="false">IFERROR(AM16/AM17,0)</f>
        <v>196926.8373276</v>
      </c>
      <c r="AN18" s="104" t="n">
        <f aca="false">IFERROR(AN16/AN17,0)</f>
        <v>196926.8373276</v>
      </c>
      <c r="AO18" s="104" t="n">
        <f aca="false">IFERROR(AO16/AO17,0)</f>
        <v>196926.8373276</v>
      </c>
      <c r="AP18" s="104" t="n">
        <f aca="false">IFERROR(AP16/AP17,0)</f>
        <v>196926.8373276</v>
      </c>
      <c r="AQ18" s="104" t="n">
        <f aca="false">IFERROR(AQ16/AQ17,0)</f>
        <v>196926.8373276</v>
      </c>
      <c r="AR18" s="104" t="n">
        <f aca="false">IFERROR(AR16/AR17,0)</f>
        <v>393853.6746552</v>
      </c>
      <c r="AS18" s="104" t="n">
        <f aca="false">IFERROR(AS16/AS17,0)</f>
        <v>393853.6746552</v>
      </c>
      <c r="AT18" s="104" t="n">
        <f aca="false">IFERROR(AT16/AT17,0)</f>
        <v>393853.6746552</v>
      </c>
      <c r="AU18" s="104" t="n">
        <f aca="false">IFERROR(AU16/AU17,0)</f>
        <v>393853.6746552</v>
      </c>
      <c r="AV18" s="104" t="n">
        <f aca="false">IFERROR(AV16/AV17,0)</f>
        <v>393853.6746552</v>
      </c>
      <c r="AW18" s="104" t="n">
        <f aca="false">IFERROR(AW16/AW17,0)</f>
        <v>393853.6746552</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1136</v>
      </c>
      <c r="B20" s="122" t="s">
        <v>812</v>
      </c>
      <c r="C20" s="122" t="s">
        <v>621</v>
      </c>
      <c r="D20" s="122" t="s">
        <v>623</v>
      </c>
      <c r="E20" s="122" t="s">
        <v>595</v>
      </c>
      <c r="F20" s="122" t="s">
        <v>1137</v>
      </c>
      <c r="G20" s="122" t="s">
        <v>622</v>
      </c>
      <c r="H20" s="122" t="s">
        <v>1138</v>
      </c>
      <c r="I20" s="122" t="s">
        <v>1139</v>
      </c>
      <c r="J20" s="122" t="s">
        <v>1140</v>
      </c>
      <c r="K20" s="122" t="s">
        <v>1141</v>
      </c>
      <c r="L20" s="122" t="s">
        <v>1142</v>
      </c>
      <c r="M20" s="122" t="s">
        <v>1143</v>
      </c>
      <c r="N20" s="122" t="s">
        <v>1144</v>
      </c>
      <c r="O20" s="122" t="s">
        <v>1145</v>
      </c>
      <c r="P20" s="122" t="s">
        <v>489</v>
      </c>
      <c r="Q20" s="122" t="s">
        <v>1146</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36"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36"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36"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36"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36"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36"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36"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36"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36"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36"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36"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36"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36"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36"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36"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36"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36"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36"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36"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36"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36"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36"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36"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36"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36"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36"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36"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36"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36"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36"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36"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36"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36"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36"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36"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36"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36"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36"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36"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36"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36"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36"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36"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36"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36"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36"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36"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36"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36"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36"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36"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36"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36"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36"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36"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36"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36"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36"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36"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36"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1147</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30468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43" customFormat="true" ht="15" hidden="false" customHeight="true" outlineLevel="0" collapsed="false">
      <c r="A1" s="342" t="s">
        <v>589</v>
      </c>
      <c r="B1" s="342" t="s">
        <v>1148</v>
      </c>
      <c r="C1" s="342" t="s">
        <v>1149</v>
      </c>
      <c r="D1" s="342" t="s">
        <v>1150</v>
      </c>
      <c r="E1" s="342" t="s">
        <v>1151</v>
      </c>
      <c r="F1" s="342" t="s">
        <v>1152</v>
      </c>
      <c r="G1" s="342" t="s">
        <v>1153</v>
      </c>
    </row>
    <row r="2" customFormat="false" ht="15" hidden="false" customHeight="true" outlineLevel="0" collapsed="false">
      <c r="A2" s="187" t="s">
        <v>7</v>
      </c>
      <c r="B2" s="188" t="n">
        <v>64068.16</v>
      </c>
      <c r="C2" s="188" t="n">
        <v>262447.96</v>
      </c>
      <c r="D2" s="344" t="n">
        <f aca="false">C2*0.05</f>
        <v>13122.398</v>
      </c>
      <c r="E2" s="344" t="n">
        <f aca="false">B2+D2</f>
        <v>77190.558</v>
      </c>
      <c r="F2" s="345" t="n">
        <f aca="false">Projects!$C$2+Projects!$D$2-1</f>
        <v>8</v>
      </c>
      <c r="G2" s="346" t="n">
        <f aca="false">EDATE(DATE(2026,4,1),F2-1)</f>
        <v>46327</v>
      </c>
    </row>
    <row r="3" customFormat="false" ht="15" hidden="false" customHeight="true" outlineLevel="0" collapsed="false">
      <c r="A3" s="187" t="s">
        <v>8</v>
      </c>
      <c r="B3" s="188" t="n">
        <v>71716.43</v>
      </c>
      <c r="C3" s="188" t="n">
        <v>1314727.24</v>
      </c>
      <c r="D3" s="344" t="n">
        <f aca="false">C3*0.05</f>
        <v>65736.362</v>
      </c>
      <c r="E3" s="344" t="n">
        <f aca="false">B3+D3</f>
        <v>137452.792</v>
      </c>
      <c r="F3" s="345" t="n">
        <v>18</v>
      </c>
      <c r="G3" s="346" t="n">
        <f aca="false">EDATE(DATE(2026,4,1),F3-1)</f>
        <v>46631</v>
      </c>
    </row>
    <row r="4" customFormat="false" ht="15" hidden="false" customHeight="true" outlineLevel="0" collapsed="false">
      <c r="A4" s="187" t="s">
        <v>9</v>
      </c>
      <c r="B4" s="188" t="n">
        <v>37008.93</v>
      </c>
      <c r="C4" s="188" t="n">
        <v>876131.96</v>
      </c>
      <c r="D4" s="344" t="n">
        <f aca="false">C4*0.05</f>
        <v>43806.598</v>
      </c>
      <c r="E4" s="344" t="n">
        <f aca="false">B4+D4</f>
        <v>80815.528</v>
      </c>
      <c r="F4" s="345" t="n">
        <v>17</v>
      </c>
      <c r="G4" s="346" t="n">
        <f aca="false">EDATE(DATE(2026,4,1),F4-1)</f>
        <v>46600</v>
      </c>
    </row>
    <row r="5" customFormat="false" ht="15" hidden="false" customHeight="true" outlineLevel="0" collapsed="false">
      <c r="A5" s="187" t="s">
        <v>10</v>
      </c>
      <c r="B5" s="188" t="n">
        <v>41184.33</v>
      </c>
      <c r="C5" s="188" t="n">
        <v>1021070.74</v>
      </c>
      <c r="D5" s="344" t="n">
        <f aca="false">C5*0.05</f>
        <v>51053.537</v>
      </c>
      <c r="E5" s="344" t="n">
        <f aca="false">B5+D5</f>
        <v>92237.867</v>
      </c>
      <c r="F5" s="345" t="n">
        <v>19</v>
      </c>
      <c r="G5" s="346" t="n">
        <f aca="false">EDATE(DATE(2026,4,1),F5-1)</f>
        <v>46661</v>
      </c>
    </row>
    <row r="6" customFormat="false" ht="15" hidden="false" customHeight="true" outlineLevel="0" collapsed="false">
      <c r="A6" s="187" t="s">
        <v>11</v>
      </c>
      <c r="B6" s="188" t="n">
        <v>15059.01</v>
      </c>
      <c r="C6" s="188" t="n">
        <v>307369.47</v>
      </c>
      <c r="D6" s="344" t="n">
        <f aca="false">C6*0.05</f>
        <v>15368.4735</v>
      </c>
      <c r="E6" s="344" t="n">
        <f aca="false">B6+D6</f>
        <v>30427.4835</v>
      </c>
      <c r="F6" s="345" t="n">
        <v>15</v>
      </c>
      <c r="G6" s="346" t="n">
        <f aca="false">EDATE(DATE(2026,4,1),F6-1)</f>
        <v>46539</v>
      </c>
    </row>
    <row r="7" customFormat="false" ht="15" hidden="false" customHeight="true" outlineLevel="0" collapsed="false">
      <c r="A7" s="187" t="s">
        <v>12</v>
      </c>
      <c r="B7" s="188" t="n">
        <v>5444.32</v>
      </c>
      <c r="C7" s="344" t="n">
        <v>5038551.52</v>
      </c>
      <c r="D7" s="344" t="n">
        <f aca="false">C7*0.05</f>
        <v>251927.576</v>
      </c>
      <c r="E7" s="344" t="n">
        <f aca="false">B7+D7</f>
        <v>257371.896</v>
      </c>
      <c r="F7" s="345" t="n">
        <v>36</v>
      </c>
      <c r="G7" s="346" t="n">
        <f aca="false">EDATE(DATE(2026,4,1),F7-1)</f>
        <v>47178</v>
      </c>
    </row>
    <row r="8" customFormat="false" ht="15" hidden="false" customHeight="true" outlineLevel="0" collapsed="false">
      <c r="A8" s="187" t="s">
        <v>13</v>
      </c>
      <c r="B8" s="188" t="n">
        <v>0</v>
      </c>
      <c r="C8" s="344" t="n">
        <f aca="false">IF(Projects!$G$8="Yes",Projects!$B$8*(Assumptions!$B$10+Assumptions!$B$11+Assumptions!$B$12),0)</f>
        <v>1564333.69243555</v>
      </c>
      <c r="D8" s="344" t="n">
        <f aca="false">C8*0.05</f>
        <v>78216.6846217775</v>
      </c>
      <c r="E8" s="344" t="n">
        <f aca="false">B8+D8</f>
        <v>78216.6846217775</v>
      </c>
      <c r="F8" s="345" t="n">
        <f aca="false">Projects!$C$8+Projects!$D$8-1</f>
        <v>24</v>
      </c>
      <c r="G8" s="346" t="n">
        <f aca="false">EDATE(DATE(2026,4,1),F8-1)</f>
        <v>46813</v>
      </c>
    </row>
    <row r="9" customFormat="false" ht="15" hidden="false" customHeight="true" outlineLevel="0" collapsed="false">
      <c r="A9" s="187" t="s">
        <v>14</v>
      </c>
      <c r="B9" s="188" t="n">
        <v>6916.62</v>
      </c>
      <c r="C9" s="344" t="n">
        <v>1587341.45</v>
      </c>
      <c r="D9" s="344" t="n">
        <f aca="false">C9*0.05</f>
        <v>79367.0725</v>
      </c>
      <c r="E9" s="344" t="n">
        <f aca="false">B9+D9</f>
        <v>86283.6925</v>
      </c>
      <c r="F9" s="345" t="n">
        <f aca="false">Projects!$C$9+Projects!$D$9-1</f>
        <v>23</v>
      </c>
      <c r="G9" s="346" t="n">
        <f aca="false">EDATE(DATE(2026,4,1),F9-1)</f>
        <v>46784</v>
      </c>
    </row>
    <row r="10" customFormat="false" ht="15" hidden="false" customHeight="true" outlineLevel="0" collapsed="false">
      <c r="A10" s="187" t="s">
        <v>15</v>
      </c>
      <c r="B10" s="188" t="n">
        <v>0</v>
      </c>
      <c r="C10" s="344" t="n">
        <f aca="false">IF(Projects!$G$10="Yes",Projects!$B$10*(Assumptions!$B$10+Assumptions!$B$11+Assumptions!$B$12),0)</f>
        <v>2657371.93657095</v>
      </c>
      <c r="D10" s="344" t="n">
        <f aca="false">C10*0.05</f>
        <v>132868.596828548</v>
      </c>
      <c r="E10" s="344" t="n">
        <f aca="false">B10+D10</f>
        <v>132868.596828548</v>
      </c>
      <c r="F10" s="345" t="n">
        <f aca="false">Projects!$C$10+Projects!$D$10-1</f>
        <v>38</v>
      </c>
      <c r="G10" s="346" t="n">
        <f aca="false">EDATE(DATE(2026,4,1),F10-1)</f>
        <v>47239</v>
      </c>
    </row>
    <row r="11" customFormat="false" ht="15" hidden="false" customHeight="true" outlineLevel="0" collapsed="false">
      <c r="A11" s="187" t="s">
        <v>16</v>
      </c>
      <c r="B11" s="188" t="n">
        <v>0</v>
      </c>
      <c r="C11" s="344" t="n">
        <f aca="false">IF(Projects!$G$11="Yes",Projects!$B$11*(Assumptions!$B$10+Assumptions!$B$11+Assumptions!$B$12),0)</f>
        <v>1152997.729619</v>
      </c>
      <c r="D11" s="344" t="n">
        <f aca="false">C11*0.05</f>
        <v>57649.88648095</v>
      </c>
      <c r="E11" s="344" t="n">
        <f aca="false">B11+D11</f>
        <v>57649.88648095</v>
      </c>
      <c r="F11" s="345" t="n">
        <f aca="false">Projects!$C$11+Projects!$D$11-1</f>
        <v>29</v>
      </c>
      <c r="G11" s="346" t="n">
        <f aca="false">EDATE(DATE(2026,4,1),F11-1)</f>
        <v>46966</v>
      </c>
    </row>
    <row r="12" customFormat="false" ht="15" hidden="false" customHeight="true" outlineLevel="0" collapsed="false">
      <c r="A12" s="187" t="s">
        <v>17</v>
      </c>
      <c r="B12" s="188" t="n">
        <v>0</v>
      </c>
      <c r="C12" s="344" t="n">
        <f aca="false">IF(Projects!$G$12="Yes",Projects!$B$12*(Assumptions!$B$10+Assumptions!$B$11+Assumptions!$B$12),0)</f>
        <v>908374.534373</v>
      </c>
      <c r="D12" s="344" t="n">
        <f aca="false">C12*0.05</f>
        <v>45418.72671865</v>
      </c>
      <c r="E12" s="344" t="n">
        <f aca="false">B12+D12</f>
        <v>45418.72671865</v>
      </c>
      <c r="F12" s="345" t="n">
        <f aca="false">Projects!$C$12+Projects!$D$12-1</f>
        <v>28</v>
      </c>
      <c r="G12" s="346" t="n">
        <f aca="false">EDATE(DATE(2026,4,1),F12-1)</f>
        <v>46935</v>
      </c>
    </row>
    <row r="13" customFormat="false" ht="15" hidden="false" customHeight="true" outlineLevel="0" collapsed="false">
      <c r="A13" s="187" t="s">
        <v>18</v>
      </c>
      <c r="B13" s="188" t="n">
        <v>0</v>
      </c>
      <c r="C13" s="344" t="n">
        <f aca="false">IF(Projects!$G$13="Yes",Projects!$B$13*(Assumptions!$B$10+Assumptions!$B$11+Assumptions!$B$12),0)</f>
        <v>5449711.70707</v>
      </c>
      <c r="D13" s="344" t="n">
        <f aca="false">C13*0.05</f>
        <v>272485.5853535</v>
      </c>
      <c r="E13" s="344" t="n">
        <f aca="false">B13+D13</f>
        <v>272485.5853535</v>
      </c>
      <c r="F13" s="345" t="n">
        <f aca="false">Projects!$C$13+Projects!$D$13-1</f>
        <v>44</v>
      </c>
      <c r="G13" s="346" t="n">
        <f aca="false">EDATE(DATE(2026,4,1),F13-1)</f>
        <v>47423</v>
      </c>
    </row>
    <row r="14" customFormat="false" ht="15" hidden="false" customHeight="true" outlineLevel="0" collapsed="false">
      <c r="A14" s="187" t="s">
        <v>19</v>
      </c>
      <c r="B14" s="188" t="n">
        <v>0</v>
      </c>
      <c r="C14" s="344" t="n">
        <f aca="false">IF(Projects!$G$14="Yes",Projects!$B$14*(Assumptions!$B$10+Assumptions!$B$11+Assumptions!$B$12),0)</f>
        <v>0</v>
      </c>
      <c r="D14" s="344" t="n">
        <f aca="false">C14*0.05</f>
        <v>0</v>
      </c>
      <c r="E14" s="344" t="n">
        <f aca="false">B14+D14</f>
        <v>0</v>
      </c>
      <c r="F14" s="345" t="n">
        <f aca="false">Projects!$C$14+Projects!$D$14-1</f>
        <v>56</v>
      </c>
      <c r="G14" s="346" t="n">
        <f aca="false">EDATE(DATE(2026,4,1),F14-1)</f>
        <v>47788</v>
      </c>
    </row>
    <row r="15" customFormat="false" ht="15" hidden="false" customHeight="true" outlineLevel="0" collapsed="false">
      <c r="A15" s="187" t="s">
        <v>1154</v>
      </c>
      <c r="B15" s="188" t="n">
        <v>0</v>
      </c>
      <c r="C15" s="344" t="n">
        <f aca="false">IF(Projects!$G$17="Yes",Projects!$B$17*(Assumptions!$B$10+Assumptions!$B$11+Assumptions!$B$12),0)</f>
        <v>0</v>
      </c>
      <c r="D15" s="344" t="n">
        <f aca="false">C15*0.05</f>
        <v>0</v>
      </c>
      <c r="E15" s="344" t="n">
        <f aca="false">B15+D15</f>
        <v>0</v>
      </c>
      <c r="F15" s="345" t="n">
        <f aca="false">Projects!$C$17+Projects!$D$17-1</f>
        <v>36</v>
      </c>
      <c r="G15" s="346" t="n">
        <f aca="false">EDATE(DATE(2026,4,1),F15-1)</f>
        <v>47178</v>
      </c>
    </row>
    <row r="16" customFormat="false" ht="15" hidden="false" customHeight="true" outlineLevel="0" collapsed="false">
      <c r="A16" s="187" t="s">
        <v>1155</v>
      </c>
      <c r="B16" s="188" t="n">
        <v>0</v>
      </c>
      <c r="C16" s="344" t="n">
        <f aca="false">IF(Projects!$G$18="Yes",Projects!$B$18*(Assumptions!$B$10+Assumptions!$B$11+Assumptions!$B$12),0)</f>
        <v>0</v>
      </c>
      <c r="D16" s="344" t="n">
        <f aca="false">C16*0.05</f>
        <v>0</v>
      </c>
      <c r="E16" s="344" t="n">
        <f aca="false">B16+D16</f>
        <v>0</v>
      </c>
      <c r="F16" s="345" t="n">
        <f aca="false">Projects!$C$18+Projects!$D$18-1</f>
        <v>32</v>
      </c>
      <c r="G16" s="346" t="n">
        <f aca="false">EDATE(DATE(2026,4,1),F16-1)</f>
        <v>47058</v>
      </c>
    </row>
    <row r="17" customFormat="false" ht="15" hidden="false" customHeight="true" outlineLevel="0" collapsed="false">
      <c r="A17" s="187" t="s">
        <v>1156</v>
      </c>
      <c r="B17" s="188" t="n">
        <v>0</v>
      </c>
      <c r="C17" s="344" t="n">
        <f aca="false">IF(Projects!$G$19="Yes",Projects!$B$19*(Assumptions!$B$10+Assumptions!$B$11+Assumptions!$B$12),0)</f>
        <v>0</v>
      </c>
      <c r="D17" s="344" t="n">
        <f aca="false">C17*0.05</f>
        <v>0</v>
      </c>
      <c r="E17" s="344" t="n">
        <f aca="false">B17+D17</f>
        <v>0</v>
      </c>
      <c r="F17" s="345" t="n">
        <f aca="false">Projects!$C$19+Projects!$D$19-1</f>
        <v>30</v>
      </c>
      <c r="G17" s="346" t="n">
        <f aca="false">EDATE(DATE(2026,4,1),F17-1)</f>
        <v>46997</v>
      </c>
    </row>
    <row r="18" customFormat="false" ht="15" hidden="false" customHeight="true" outlineLevel="0" collapsed="false">
      <c r="A18" s="187" t="s">
        <v>23</v>
      </c>
      <c r="B18" s="188" t="n">
        <v>0</v>
      </c>
      <c r="C18" s="344" t="n">
        <f aca="false">IF(Projects!$G$20="Yes",Projects!$B$20*(Assumptions!$B$10+Assumptions!$B$11+Assumptions!$B$12),0)</f>
        <v>0</v>
      </c>
      <c r="D18" s="344" t="n">
        <f aca="false">C18*0.05</f>
        <v>0</v>
      </c>
      <c r="E18" s="344" t="n">
        <f aca="false">B18+D18</f>
        <v>0</v>
      </c>
      <c r="F18" s="345" t="n">
        <f aca="false">Projects!$C$20+Projects!$D$20-1</f>
        <v>43</v>
      </c>
      <c r="G18" s="346" t="n">
        <f aca="false">EDATE(DATE(2026,4,1),F18-1)</f>
        <v>47392</v>
      </c>
    </row>
    <row r="19" customFormat="false" ht="15" hidden="false" customHeight="true" outlineLevel="0" collapsed="false">
      <c r="A19" s="187" t="s">
        <v>24</v>
      </c>
      <c r="B19" s="188" t="n">
        <v>0</v>
      </c>
      <c r="C19" s="344" t="n">
        <f aca="false">IF(Projects!$G$21="Yes",Projects!$Q$21,0)</f>
        <v>1614928</v>
      </c>
      <c r="D19" s="344" t="n">
        <f aca="false">C19*0.05</f>
        <v>80746.4</v>
      </c>
      <c r="E19" s="344" t="n">
        <f aca="false">B19+D19</f>
        <v>80746.4</v>
      </c>
      <c r="F19" s="345" t="n">
        <f aca="false">Projects!$C$21+Projects!$D$21-1</f>
        <v>28</v>
      </c>
      <c r="G19" s="346" t="n">
        <f aca="false">EDATE(DATE(2026,4,1),F19-1)</f>
        <v>46935</v>
      </c>
    </row>
    <row r="20" customFormat="false" ht="15" hidden="false" customHeight="true" outlineLevel="0" collapsed="false">
      <c r="A20" s="187" t="s">
        <v>25</v>
      </c>
      <c r="B20" s="188" t="n">
        <v>0</v>
      </c>
      <c r="C20" s="344" t="n">
        <f aca="false">IF(Projects!$G$22="Yes",Projects!$B$22*(Assumptions!$B$10+Assumptions!$B$11+Assumptions!$B$12),0)</f>
        <v>0</v>
      </c>
      <c r="D20" s="344" t="n">
        <f aca="false">C20*0.05</f>
        <v>0</v>
      </c>
      <c r="E20" s="344" t="n">
        <f aca="false">B20+D20</f>
        <v>0</v>
      </c>
      <c r="F20" s="345" t="n">
        <f aca="false">Projects!$C$22+Projects!$D$22-1</f>
        <v>37</v>
      </c>
      <c r="G20" s="346" t="n">
        <f aca="false">EDATE(DATE(2026,4,1),F20-1)</f>
        <v>47209</v>
      </c>
    </row>
    <row r="21" customFormat="false" ht="15" hidden="false" customHeight="true" outlineLevel="0" collapsed="false">
      <c r="A21" s="187" t="s">
        <v>26</v>
      </c>
      <c r="B21" s="188" t="n">
        <v>0</v>
      </c>
      <c r="C21" s="344" t="n">
        <f aca="false">IF(Projects!$G$23="Yes",Projects!$B$23*(Assumptions!$B$10+Assumptions!$B$11+Assumptions!$B$12),0)</f>
        <v>0</v>
      </c>
      <c r="D21" s="344" t="n">
        <f aca="false">C21*0.05</f>
        <v>0</v>
      </c>
      <c r="E21" s="344" t="n">
        <f aca="false">B21+D21</f>
        <v>0</v>
      </c>
      <c r="F21" s="345" t="n">
        <f aca="false">Projects!$C$23+Projects!$D$23-1</f>
        <v>52</v>
      </c>
      <c r="G21" s="346" t="n">
        <f aca="false">EDATE(DATE(2026,4,1),F21-1)</f>
        <v>47665</v>
      </c>
    </row>
    <row r="22" customFormat="false" ht="15" hidden="false" customHeight="true" outlineLevel="0" collapsed="false">
      <c r="A22" s="187" t="s">
        <v>27</v>
      </c>
      <c r="B22" s="188" t="n">
        <v>0</v>
      </c>
      <c r="C22" s="344" t="n">
        <f aca="false">IF(Projects!$G$24="Yes",Projects!$B$24*(Assumptions!$B$10+Assumptions!$B$11+Assumptions!$B$12),0)</f>
        <v>0</v>
      </c>
      <c r="D22" s="344" t="n">
        <f aca="false">C22*0.05</f>
        <v>0</v>
      </c>
      <c r="E22" s="344" t="n">
        <f aca="false">B22+D22</f>
        <v>0</v>
      </c>
      <c r="F22" s="345" t="n">
        <f aca="false">Projects!$C$24+Projects!$D$24-1</f>
        <v>55</v>
      </c>
      <c r="G22" s="346" t="n">
        <f aca="false">EDATE(DATE(2026,4,1),F22-1)</f>
        <v>47757</v>
      </c>
    </row>
    <row r="23" customFormat="false" ht="15" hidden="false" customHeight="true" outlineLevel="0" collapsed="false">
      <c r="A23" s="187" t="s">
        <v>28</v>
      </c>
      <c r="B23" s="188" t="n">
        <v>0</v>
      </c>
      <c r="C23" s="344" t="n">
        <f aca="false">IF(Projects!$G$25="Yes",Projects!$B$25*(Assumptions!$B$10+Assumptions!$B$11+Assumptions!$B$12),0)</f>
        <v>0</v>
      </c>
      <c r="D23" s="344" t="n">
        <f aca="false">C23*0.05</f>
        <v>0</v>
      </c>
      <c r="E23" s="344" t="n">
        <f aca="false">B23+D23</f>
        <v>0</v>
      </c>
      <c r="F23" s="345" t="n">
        <f aca="false">Projects!$C$25+Projects!$D$25-1</f>
        <v>58</v>
      </c>
      <c r="G23" s="346" t="n">
        <f aca="false">EDATE(DATE(2026,4,1),F23-1)</f>
        <v>47849</v>
      </c>
    </row>
    <row r="24" customFormat="false" ht="15" hidden="false" customHeight="true" outlineLevel="0" collapsed="false">
      <c r="A24" s="187" t="s">
        <v>29</v>
      </c>
      <c r="B24" s="188" t="n">
        <v>0</v>
      </c>
      <c r="C24" s="344" t="n">
        <f aca="false">IF(Projects!$G$26="Yes",Projects!$B$26*(Assumptions!$B$10+Assumptions!$B$11+Assumptions!$B$12),0)</f>
        <v>0</v>
      </c>
      <c r="D24" s="344" t="n">
        <f aca="false">C24*0.05</f>
        <v>0</v>
      </c>
      <c r="E24" s="344" t="n">
        <f aca="false">B24+D24</f>
        <v>0</v>
      </c>
      <c r="F24" s="345" t="n">
        <f aca="false">Projects!$C$26+Projects!$D$26-1</f>
        <v>60</v>
      </c>
      <c r="G24" s="346" t="n">
        <f aca="false">EDATE(DATE(2026,4,1),F24-1)</f>
        <v>47908</v>
      </c>
    </row>
    <row r="25" customFormat="false" ht="15" hidden="false" customHeight="true" outlineLevel="0" collapsed="false">
      <c r="A25" s="187" t="s">
        <v>30</v>
      </c>
      <c r="B25" s="188" t="n">
        <v>0</v>
      </c>
      <c r="C25" s="344" t="n">
        <f aca="false">IF(Projects!$G$27="Yes",Projects!$B$27*(Assumptions!$B$10+Assumptions!$B$11+Assumptions!$B$12),0)</f>
        <v>0</v>
      </c>
      <c r="D25" s="344" t="n">
        <f aca="false">C25*0.05</f>
        <v>0</v>
      </c>
      <c r="E25" s="344" t="n">
        <f aca="false">B25+D25</f>
        <v>0</v>
      </c>
      <c r="F25" s="345" t="n">
        <f aca="false">Projects!$C$27+Projects!$D$27-1</f>
        <v>62</v>
      </c>
      <c r="G25" s="346" t="n">
        <f aca="false">EDATE(DATE(2026,4,1),F25-1)</f>
        <v>47969</v>
      </c>
    </row>
    <row r="26" customFormat="false" ht="15" hidden="false" customHeight="true" outlineLevel="0" collapsed="false">
      <c r="A26" s="187" t="s">
        <v>31</v>
      </c>
      <c r="B26" s="188" t="n">
        <v>0</v>
      </c>
      <c r="C26" s="344" t="n">
        <f aca="false">IF(Projects!$G$28="Yes",Projects!$B$28*(Assumptions!$B$10+Assumptions!$B$11+Assumptions!$B$12),0)</f>
        <v>0</v>
      </c>
      <c r="D26" s="344" t="n">
        <f aca="false">C26*0.05</f>
        <v>0</v>
      </c>
      <c r="E26" s="344" t="n">
        <f aca="false">B26+D26</f>
        <v>0</v>
      </c>
      <c r="F26" s="345" t="n">
        <f aca="false">Projects!$C$28+Projects!$D$28-1</f>
        <v>64</v>
      </c>
      <c r="G26" s="346" t="n">
        <f aca="false">EDATE(DATE(2026,4,1),F26-1)</f>
        <v>48030</v>
      </c>
    </row>
    <row r="27" customFormat="false" ht="15" hidden="false" customHeight="true" outlineLevel="0" collapsed="false">
      <c r="A27" s="187" t="s">
        <v>32</v>
      </c>
      <c r="B27" s="188" t="n">
        <v>0</v>
      </c>
      <c r="C27" s="344" t="n">
        <f aca="false">IF(Projects!$G$29="Yes",Projects!$B$29*(Assumptions!$B$10+Assumptions!$B$11+Assumptions!$B$12),0)</f>
        <v>0</v>
      </c>
      <c r="D27" s="344" t="n">
        <f aca="false">C27*0.05</f>
        <v>0</v>
      </c>
      <c r="E27" s="344" t="n">
        <f aca="false">B27+D27</f>
        <v>0</v>
      </c>
      <c r="F27" s="345" t="n">
        <f aca="false">Projects!$C$29+Projects!$D$29-1</f>
        <v>66</v>
      </c>
      <c r="G27" s="346" t="n">
        <f aca="false">EDATE(DATE(2026,4,1),F27-1)</f>
        <v>48092</v>
      </c>
    </row>
    <row r="28" customFormat="false" ht="15" hidden="false" customHeight="true" outlineLevel="0" collapsed="false">
      <c r="A28" s="187" t="s">
        <v>33</v>
      </c>
      <c r="B28" s="188" t="n">
        <v>0</v>
      </c>
      <c r="C28" s="344" t="n">
        <f aca="false">IF(Projects!$G$30="Yes",Projects!$B$30*(Assumptions!$B$10+Assumptions!$B$11+Assumptions!$B$12),0)</f>
        <v>0</v>
      </c>
      <c r="D28" s="344" t="n">
        <f aca="false">C28*0.05</f>
        <v>0</v>
      </c>
      <c r="E28" s="344" t="n">
        <f aca="false">B28+D28</f>
        <v>0</v>
      </c>
      <c r="F28" s="345" t="n">
        <f aca="false">Projects!$C$30+Projects!$D$30-1</f>
        <v>68</v>
      </c>
      <c r="G28" s="346" t="n">
        <f aca="false">EDATE(DATE(2026,4,1),F28-1)</f>
        <v>48153</v>
      </c>
    </row>
    <row r="29" customFormat="false" ht="15" hidden="false" customHeight="true" outlineLevel="0" collapsed="false">
      <c r="A29" s="187" t="s">
        <v>34</v>
      </c>
      <c r="B29" s="188" t="n">
        <v>0</v>
      </c>
      <c r="C29" s="344" t="n">
        <f aca="false">IF(Projects!$G$31="Yes",Projects!$B$31*(Assumptions!$B$10+Assumptions!$B$11+Assumptions!$B$12),0)</f>
        <v>0</v>
      </c>
      <c r="D29" s="344" t="n">
        <f aca="false">C29*0.05</f>
        <v>0</v>
      </c>
      <c r="E29" s="344" t="n">
        <f aca="false">B29+D29</f>
        <v>0</v>
      </c>
      <c r="F29" s="345" t="n">
        <f aca="false">Projects!$C$31+Projects!$D$31-1</f>
        <v>70</v>
      </c>
      <c r="G29" s="346" t="n">
        <f aca="false">EDATE(DATE(2026,4,1),F29-1)</f>
        <v>48214</v>
      </c>
    </row>
    <row r="30" customFormat="false" ht="15" hidden="false" customHeight="true" outlineLevel="0" collapsed="false">
      <c r="A30" s="187" t="s">
        <v>35</v>
      </c>
      <c r="B30" s="188" t="n">
        <v>0</v>
      </c>
      <c r="C30" s="344" t="n">
        <f aca="false">IF(Projects!$G$32="Yes",Projects!$B$32*(Assumptions!$B$10+Assumptions!$B$11+Assumptions!$B$12),0)</f>
        <v>0</v>
      </c>
      <c r="D30" s="344" t="n">
        <f aca="false">C30*0.05</f>
        <v>0</v>
      </c>
      <c r="E30" s="344" t="n">
        <f aca="false">B30+D30</f>
        <v>0</v>
      </c>
      <c r="F30" s="345" t="n">
        <f aca="false">Projects!$C$32+Projects!$D$32-1</f>
        <v>72</v>
      </c>
      <c r="G30" s="346" t="n">
        <f aca="false">EDATE(DATE(2026,4,1),F30-1)</f>
        <v>48274</v>
      </c>
    </row>
    <row r="31" customFormat="false" ht="15" hidden="false" customHeight="true" outlineLevel="0" collapsed="false">
      <c r="A31" s="187" t="s">
        <v>36</v>
      </c>
      <c r="B31" s="188" t="n">
        <v>0</v>
      </c>
      <c r="C31" s="344" t="n">
        <f aca="false">IF(Projects!$G$33="Yes",Projects!$B$33*(Assumptions!$B$10+Assumptions!$B$11+Assumptions!$B$12),0)</f>
        <v>0</v>
      </c>
      <c r="D31" s="344" t="n">
        <f aca="false">C31*0.05</f>
        <v>0</v>
      </c>
      <c r="E31" s="344" t="n">
        <f aca="false">B31+D31</f>
        <v>0</v>
      </c>
      <c r="F31" s="345" t="n">
        <f aca="false">Projects!$C$33+Projects!$D$33-1</f>
        <v>74</v>
      </c>
      <c r="G31" s="346" t="n">
        <f aca="false">EDATE(DATE(2026,4,1),F31-1)</f>
        <v>48335</v>
      </c>
    </row>
    <row r="32" customFormat="false" ht="15" hidden="false" customHeight="true" outlineLevel="0" collapsed="false">
      <c r="A32" s="187" t="s">
        <v>37</v>
      </c>
      <c r="B32" s="188" t="n">
        <v>0</v>
      </c>
      <c r="C32" s="344" t="n">
        <f aca="false">IF(Projects!$G$34="Yes",Projects!$B$34*(Assumptions!$B$10+Assumptions!$B$11+Assumptions!$B$12),0)</f>
        <v>0</v>
      </c>
      <c r="D32" s="344" t="n">
        <f aca="false">C32*0.05</f>
        <v>0</v>
      </c>
      <c r="E32" s="344" t="n">
        <f aca="false">B32+D32</f>
        <v>0</v>
      </c>
      <c r="F32" s="345" t="n">
        <f aca="false">Projects!$C$34+Projects!$D$34-1</f>
        <v>76</v>
      </c>
      <c r="G32" s="346" t="n">
        <f aca="false">EDATE(DATE(2026,4,1),F32-1)</f>
        <v>48396</v>
      </c>
    </row>
    <row r="33" customFormat="false" ht="15" hidden="false" customHeight="true" outlineLevel="0" collapsed="false">
      <c r="A33" s="187" t="s">
        <v>38</v>
      </c>
      <c r="B33" s="188" t="n">
        <v>0</v>
      </c>
      <c r="C33" s="344" t="n">
        <f aca="false">IF(Projects!$G$35="Yes",Projects!$B$35*(Assumptions!$B$10+Assumptions!$B$11+Assumptions!$B$12),0)</f>
        <v>0</v>
      </c>
      <c r="D33" s="344" t="n">
        <f aca="false">C33*0.05</f>
        <v>0</v>
      </c>
      <c r="E33" s="344" t="n">
        <f aca="false">B33+D33</f>
        <v>0</v>
      </c>
      <c r="F33" s="345" t="n">
        <f aca="false">Projects!$C$35+Projects!$D$35-1</f>
        <v>78</v>
      </c>
      <c r="G33" s="346" t="n">
        <f aca="false">EDATE(DATE(2026,4,1),F33-1)</f>
        <v>48458</v>
      </c>
    </row>
    <row r="34" customFormat="false" ht="15" hidden="false" customHeight="true" outlineLevel="0" collapsed="false">
      <c r="A34" s="187" t="s">
        <v>39</v>
      </c>
      <c r="B34" s="188" t="n">
        <v>0</v>
      </c>
      <c r="C34" s="344" t="n">
        <f aca="false">IF(Projects!$G$36="Yes",Projects!$B$36*(Assumptions!$B$10+Assumptions!$B$11+Assumptions!$B$12),0)</f>
        <v>0</v>
      </c>
      <c r="D34" s="344" t="n">
        <f aca="false">C34*0.05</f>
        <v>0</v>
      </c>
      <c r="E34" s="344" t="n">
        <f aca="false">B34+D34</f>
        <v>0</v>
      </c>
      <c r="F34" s="345" t="n">
        <f aca="false">Projects!$C$36+Projects!$D$36-1</f>
        <v>80</v>
      </c>
      <c r="G34" s="346" t="n">
        <f aca="false">EDATE(DATE(2026,4,1),F34-1)</f>
        <v>48519</v>
      </c>
    </row>
    <row r="35" customFormat="false" ht="15" hidden="false" customHeight="true" outlineLevel="0" collapsed="false">
      <c r="A35" s="187" t="s">
        <v>40</v>
      </c>
      <c r="B35" s="188" t="n">
        <v>0</v>
      </c>
      <c r="C35" s="344" t="n">
        <f aca="false">IF(Projects!$G$37="Yes",Projects!$B$37*(Assumptions!$B$10+Assumptions!$B$11+Assumptions!$B$12),0)</f>
        <v>0</v>
      </c>
      <c r="D35" s="344" t="n">
        <f aca="false">C35*0.05</f>
        <v>0</v>
      </c>
      <c r="E35" s="344" t="n">
        <f aca="false">B35+D35</f>
        <v>0</v>
      </c>
      <c r="F35" s="345" t="n">
        <f aca="false">Projects!$C$37+Projects!$D$37-1</f>
        <v>82</v>
      </c>
      <c r="G35" s="346" t="n">
        <f aca="false">EDATE(DATE(2026,4,1),F35-1)</f>
        <v>48580</v>
      </c>
    </row>
    <row r="36" customFormat="false" ht="15" hidden="false" customHeight="true" outlineLevel="0" collapsed="false">
      <c r="A36" s="187" t="s">
        <v>41</v>
      </c>
      <c r="B36" s="188" t="n">
        <v>0</v>
      </c>
      <c r="C36" s="344" t="n">
        <f aca="false">IF(Projects!$G$38="Yes",Projects!$B$38*(Assumptions!$B$10+Assumptions!$B$11+Assumptions!$B$12),0)</f>
        <v>0</v>
      </c>
      <c r="D36" s="344" t="n">
        <f aca="false">C36*0.05</f>
        <v>0</v>
      </c>
      <c r="E36" s="344" t="n">
        <f aca="false">B36+D36</f>
        <v>0</v>
      </c>
      <c r="F36" s="345" t="n">
        <f aca="false">Projects!$C$38+Projects!$D$38-1</f>
        <v>84</v>
      </c>
      <c r="G36" s="346" t="n">
        <f aca="false">EDATE(DATE(2026,4,1),F36-1)</f>
        <v>48639</v>
      </c>
    </row>
    <row r="37" customFormat="false" ht="15" hidden="false" customHeight="true" outlineLevel="0" collapsed="false">
      <c r="A37" s="187" t="s">
        <v>42</v>
      </c>
      <c r="B37" s="188" t="n">
        <v>0</v>
      </c>
      <c r="C37" s="344" t="n">
        <f aca="false">IF(Projects!$G$39="Yes",Projects!$B$39*(Assumptions!$B$10+Assumptions!$B$11+Assumptions!$B$12),0)</f>
        <v>0</v>
      </c>
      <c r="D37" s="344" t="n">
        <f aca="false">C37*0.05</f>
        <v>0</v>
      </c>
      <c r="E37" s="344" t="n">
        <f aca="false">B37+D37</f>
        <v>0</v>
      </c>
      <c r="F37" s="345" t="n">
        <f aca="false">Projects!$C$39+Projects!$D$39-1</f>
        <v>86</v>
      </c>
      <c r="G37" s="346" t="n">
        <f aca="false">EDATE(DATE(2026,4,1),F37-1)</f>
        <v>48700</v>
      </c>
    </row>
    <row r="38" customFormat="false" ht="15" hidden="false" customHeight="true" outlineLevel="0" collapsed="false">
      <c r="A38" s="187" t="s">
        <v>43</v>
      </c>
      <c r="B38" s="188" t="n">
        <v>0</v>
      </c>
      <c r="C38" s="344" t="n">
        <f aca="false">IF(Projects!$G$40="Yes",Projects!$B$40*(Assumptions!$B$10+Assumptions!$B$11+Assumptions!$B$12),0)</f>
        <v>0</v>
      </c>
      <c r="D38" s="344" t="n">
        <f aca="false">C38*0.05</f>
        <v>0</v>
      </c>
      <c r="E38" s="344" t="n">
        <f aca="false">B38+D38</f>
        <v>0</v>
      </c>
      <c r="F38" s="345" t="n">
        <f aca="false">Projects!$C$40+Projects!$D$40-1</f>
        <v>88</v>
      </c>
      <c r="G38" s="346" t="n">
        <f aca="false">EDATE(DATE(2026,4,1),F38-1)</f>
        <v>48761</v>
      </c>
    </row>
    <row r="39" customFormat="false" ht="15" hidden="false" customHeight="true" outlineLevel="0" collapsed="false">
      <c r="A39" s="187" t="s">
        <v>44</v>
      </c>
      <c r="B39" s="188" t="n">
        <v>0</v>
      </c>
      <c r="C39" s="344" t="n">
        <f aca="false">IF(Projects!$G$41="Yes",Projects!$B$41*(Assumptions!$B$10+Assumptions!$B$11+Assumptions!$B$12),0)</f>
        <v>0</v>
      </c>
      <c r="D39" s="344" t="n">
        <f aca="false">C39*0.05</f>
        <v>0</v>
      </c>
      <c r="E39" s="344" t="n">
        <f aca="false">B39+D39</f>
        <v>0</v>
      </c>
      <c r="F39" s="345" t="n">
        <f aca="false">Projects!$C$41+Projects!$D$41-1</f>
        <v>90</v>
      </c>
      <c r="G39" s="346" t="n">
        <f aca="false">EDATE(DATE(2026,4,1),F39-1)</f>
        <v>48823</v>
      </c>
    </row>
    <row r="40" customFormat="false" ht="15" hidden="false" customHeight="true" outlineLevel="0" collapsed="false">
      <c r="A40" s="187" t="s">
        <v>45</v>
      </c>
      <c r="B40" s="188" t="n">
        <v>0</v>
      </c>
      <c r="C40" s="344" t="n">
        <f aca="false">IF(Projects!$G$42="Yes",Projects!$B$42*(Assumptions!$B$10+Assumptions!$B$11+Assumptions!$B$12),0)</f>
        <v>0</v>
      </c>
      <c r="D40" s="344" t="n">
        <f aca="false">C40*0.05</f>
        <v>0</v>
      </c>
      <c r="E40" s="344" t="n">
        <f aca="false">B40+D40</f>
        <v>0</v>
      </c>
      <c r="F40" s="345" t="n">
        <f aca="false">Projects!$C$42+Projects!$D$42-1</f>
        <v>92</v>
      </c>
      <c r="G40" s="346" t="n">
        <f aca="false">EDATE(DATE(2026,4,1),F40-1)</f>
        <v>48884</v>
      </c>
    </row>
    <row r="41" customFormat="false" ht="15" hidden="false" customHeight="true" outlineLevel="0" collapsed="false">
      <c r="A41" s="187" t="s">
        <v>46</v>
      </c>
      <c r="B41" s="188" t="n">
        <v>0</v>
      </c>
      <c r="C41" s="344" t="n">
        <f aca="false">IF(Projects!$G$43="Yes",Projects!$B$43*(Assumptions!$B$10+Assumptions!$B$11+Assumptions!$B$12),0)</f>
        <v>0</v>
      </c>
      <c r="D41" s="344" t="n">
        <f aca="false">C41*0.05</f>
        <v>0</v>
      </c>
      <c r="E41" s="344" t="n">
        <f aca="false">B41+D41</f>
        <v>0</v>
      </c>
      <c r="F41" s="345" t="n">
        <f aca="false">Projects!$C$43+Projects!$D$43-1</f>
        <v>94</v>
      </c>
      <c r="G41" s="346" t="n">
        <f aca="false">EDATE(DATE(2026,4,1),F41-1)</f>
        <v>48945</v>
      </c>
    </row>
    <row r="42" customFormat="false" ht="15" hidden="false" customHeight="true" outlineLevel="0" collapsed="false">
      <c r="A42" s="187" t="s">
        <v>47</v>
      </c>
      <c r="B42" s="188" t="n">
        <v>0</v>
      </c>
      <c r="C42" s="344" t="n">
        <f aca="false">IF(Projects!$G$44="Yes",Projects!$B$44*(Assumptions!$B$10+Assumptions!$B$11+Assumptions!$B$12),0)</f>
        <v>0</v>
      </c>
      <c r="D42" s="344" t="n">
        <f aca="false">C42*0.05</f>
        <v>0</v>
      </c>
      <c r="E42" s="344" t="n">
        <f aca="false">B42+D42</f>
        <v>0</v>
      </c>
      <c r="F42" s="345" t="n">
        <f aca="false">Projects!$C$44+Projects!$D$44-1</f>
        <v>96</v>
      </c>
      <c r="G42" s="346" t="n">
        <f aca="false">EDATE(DATE(2026,4,1),F42-1)</f>
        <v>49004</v>
      </c>
    </row>
    <row r="43" customFormat="false" ht="15" hidden="false" customHeight="true" outlineLevel="0" collapsed="false">
      <c r="A43" s="187" t="s">
        <v>48</v>
      </c>
      <c r="B43" s="188" t="n">
        <v>0</v>
      </c>
      <c r="C43" s="344" t="n">
        <f aca="false">IF(Projects!$G$45="Yes",Projects!$B$45*(Assumptions!$B$10+Assumptions!$B$11+Assumptions!$B$12),0)</f>
        <v>0</v>
      </c>
      <c r="D43" s="344" t="n">
        <f aca="false">C43*0.05</f>
        <v>0</v>
      </c>
      <c r="E43" s="344" t="n">
        <f aca="false">B43+D43</f>
        <v>0</v>
      </c>
      <c r="F43" s="345" t="n">
        <f aca="false">Projects!$C$45+Projects!$D$45-1</f>
        <v>98</v>
      </c>
      <c r="G43" s="346" t="n">
        <f aca="false">EDATE(DATE(2026,4,1),F43-1)</f>
        <v>49065</v>
      </c>
    </row>
    <row r="44" customFormat="false" ht="15" hidden="false" customHeight="true" outlineLevel="0" collapsed="false">
      <c r="A44" s="187" t="s">
        <v>49</v>
      </c>
      <c r="B44" s="188" t="n">
        <v>0</v>
      </c>
      <c r="C44" s="344" t="n">
        <f aca="false">IF(Projects!$G$46="Yes",Projects!$B$46*(Assumptions!$B$10+Assumptions!$B$11+Assumptions!$B$12),0)</f>
        <v>0</v>
      </c>
      <c r="D44" s="344" t="n">
        <f aca="false">C44*0.05</f>
        <v>0</v>
      </c>
      <c r="E44" s="344" t="n">
        <f aca="false">B44+D44</f>
        <v>0</v>
      </c>
      <c r="F44" s="345" t="n">
        <f aca="false">Projects!$C$46+Projects!$D$46-1</f>
        <v>100</v>
      </c>
      <c r="G44" s="346"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9843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47" t="s">
        <v>1157</v>
      </c>
      <c r="N1" s="1" t="s">
        <v>1158</v>
      </c>
      <c r="O1" s="348" t="n">
        <v>1</v>
      </c>
    </row>
    <row r="2" customFormat="false" ht="13.5" hidden="false" customHeight="true" outlineLevel="0" collapsed="false">
      <c r="A2" s="349" t="s">
        <v>1159</v>
      </c>
      <c r="N2" s="1" t="s">
        <v>1160</v>
      </c>
    </row>
    <row r="3" customFormat="false" ht="57" hidden="false" customHeight="true" outlineLevel="0" collapsed="false">
      <c r="A3" s="185" t="s">
        <v>1161</v>
      </c>
      <c r="B3" s="185" t="s">
        <v>470</v>
      </c>
      <c r="C3" s="185" t="s">
        <v>1162</v>
      </c>
      <c r="D3" s="185" t="s">
        <v>1163</v>
      </c>
      <c r="E3" s="185" t="s">
        <v>1164</v>
      </c>
      <c r="F3" s="185" t="s">
        <v>1165</v>
      </c>
      <c r="G3" s="185" t="s">
        <v>1166</v>
      </c>
      <c r="H3" s="185" t="s">
        <v>657</v>
      </c>
      <c r="I3" s="185" t="s">
        <v>1167</v>
      </c>
      <c r="J3" s="185" t="s">
        <v>1168</v>
      </c>
      <c r="K3" s="185" t="s">
        <v>1169</v>
      </c>
      <c r="L3" s="185" t="s">
        <v>1170</v>
      </c>
    </row>
    <row r="4" customFormat="false" ht="13.5" hidden="false" customHeight="true" outlineLevel="0" collapsed="false">
      <c r="A4" s="227" t="n">
        <v>13</v>
      </c>
      <c r="B4" s="225" t="s">
        <v>7</v>
      </c>
      <c r="C4" s="225" t="s">
        <v>1171</v>
      </c>
      <c r="D4" s="227" t="n">
        <v>0</v>
      </c>
      <c r="E4" s="227" t="n">
        <v>1</v>
      </c>
      <c r="F4" s="350" t="n">
        <v>150000</v>
      </c>
      <c r="G4" s="227" t="n">
        <v>9</v>
      </c>
      <c r="H4" s="225" t="s">
        <v>1172</v>
      </c>
      <c r="I4" s="227" t="n">
        <f aca="false">IF(OR($D4=1,$E4=1),SUM(INDEX(Model!$K$13:$DE$56,$A4-12,0))+SUM(INDEX(Model!$K$60:$DE$103,$A4-12,0)),0)</f>
        <v>-201983.3</v>
      </c>
      <c r="J4" s="350" t="n">
        <f aca="false">201983</f>
        <v>201983</v>
      </c>
      <c r="K4" s="227" t="n">
        <f aca="false">IF(OR($D4=1,$E4=1),J4+IF(AND($D4=1,$O$1=1),0,I4),0)</f>
        <v>-0.300000000046566</v>
      </c>
      <c r="L4" s="351" t="n">
        <v>0.5</v>
      </c>
    </row>
    <row r="5" customFormat="false" ht="13.5" hidden="false" customHeight="true" outlineLevel="0" collapsed="false">
      <c r="A5" s="352" t="n">
        <v>14</v>
      </c>
      <c r="B5" s="353" t="s">
        <v>8</v>
      </c>
      <c r="C5" s="353" t="s">
        <v>1171</v>
      </c>
      <c r="D5" s="352" t="n">
        <v>0</v>
      </c>
      <c r="E5" s="352" t="n">
        <v>1</v>
      </c>
      <c r="F5" s="354" t="n">
        <v>358268</v>
      </c>
      <c r="G5" s="352" t="n">
        <v>19</v>
      </c>
      <c r="H5" s="353" t="s">
        <v>1172</v>
      </c>
      <c r="I5" s="352" t="n">
        <f aca="false">IF(OR($D5=1,$E5=1),SUM(INDEX(Model!$K$13:$DE$56,$A5-12,0))+SUM(INDEX(Model!$K$60:$DE$103,$A5-12,0)),0)</f>
        <v>-443926.629999999</v>
      </c>
      <c r="J5" s="354" t="n">
        <f aca="false">194267</f>
        <v>194267</v>
      </c>
      <c r="K5" s="352" t="n">
        <f aca="false">IF(OR($D5=1,$E5=1),J5+IF(AND($D5=1,$O$1=1),0,I5),0)</f>
        <v>-249659.629999999</v>
      </c>
      <c r="L5" s="355" t="n">
        <v>0.5</v>
      </c>
    </row>
    <row r="6" customFormat="false" ht="13.5" hidden="false" customHeight="true" outlineLevel="0" collapsed="false">
      <c r="A6" s="227" t="n">
        <v>15</v>
      </c>
      <c r="B6" s="225" t="s">
        <v>9</v>
      </c>
      <c r="C6" s="225" t="s">
        <v>1173</v>
      </c>
      <c r="D6" s="227" t="n">
        <v>1</v>
      </c>
      <c r="E6" s="227" t="n">
        <v>0</v>
      </c>
      <c r="F6" s="350" t="n">
        <v>0</v>
      </c>
      <c r="G6" s="356" t="n">
        <f aca="false">Retention!$F$4</f>
        <v>17</v>
      </c>
      <c r="H6" s="1" t="s">
        <v>1174</v>
      </c>
      <c r="I6" s="227" t="n">
        <f aca="false">IF(OR($D6=1,$E6=1),SUM(INDEX(Model!$K$13:$DE$56,$A6-12,0))+SUM(INDEX(Model!$K$60:$DE$103,$A6-12,0)),0)</f>
        <v>-129122.51</v>
      </c>
      <c r="J6" s="350" t="n">
        <f aca="false">11610889-11656654</f>
        <v>-45765</v>
      </c>
      <c r="K6" s="227" t="n">
        <f aca="false">IF(OR($D6=1,$E6=1),J6+IF(AND($D6=1,$O$1=1),0,I6),0)</f>
        <v>-45765</v>
      </c>
      <c r="L6" s="351" t="n">
        <v>0</v>
      </c>
    </row>
    <row r="7" customFormat="false" ht="13.5" hidden="false" customHeight="true" outlineLevel="0" collapsed="false">
      <c r="A7" s="352" t="n">
        <v>16</v>
      </c>
      <c r="B7" s="353" t="s">
        <v>10</v>
      </c>
      <c r="C7" s="353" t="s">
        <v>1173</v>
      </c>
      <c r="D7" s="352" t="n">
        <v>1</v>
      </c>
      <c r="E7" s="352" t="n">
        <v>0</v>
      </c>
      <c r="F7" s="354" t="n">
        <v>0</v>
      </c>
      <c r="G7" s="357" t="n">
        <f aca="false">Retention!$F$5</f>
        <v>19</v>
      </c>
      <c r="H7" s="1" t="s">
        <v>1174</v>
      </c>
      <c r="I7" s="352" t="n">
        <f aca="false">IF(OR($D7=1,$E7=1),SUM(INDEX(Model!$K$13:$DE$56,$A7-12,0))+SUM(INDEX(Model!$K$60:$DE$103,$A7-12,0)),0)</f>
        <v>-122763.819999999</v>
      </c>
      <c r="J7" s="354" t="n">
        <f aca="false">13275793-13332488</f>
        <v>-56695</v>
      </c>
      <c r="K7" s="352" t="n">
        <f aca="false">IF(OR($D7=1,$E7=1),J7+IF(AND($D7=1,$O$1=1),0,I7),0)</f>
        <v>-56695</v>
      </c>
      <c r="L7" s="355" t="n">
        <v>0</v>
      </c>
    </row>
    <row r="8" customFormat="false" ht="13.5" hidden="false" customHeight="true" outlineLevel="0" collapsed="false">
      <c r="A8" s="227" t="n">
        <v>17</v>
      </c>
      <c r="B8" s="225" t="s">
        <v>11</v>
      </c>
      <c r="C8" s="225" t="s">
        <v>1171</v>
      </c>
      <c r="D8" s="227" t="n">
        <v>0</v>
      </c>
      <c r="E8" s="227" t="n">
        <v>1</v>
      </c>
      <c r="F8" s="350" t="n">
        <v>0</v>
      </c>
      <c r="G8" s="356" t="n">
        <f aca="false">Retention!$F$6</f>
        <v>15</v>
      </c>
      <c r="H8" s="225" t="s">
        <v>1172</v>
      </c>
      <c r="I8" s="227" t="n">
        <f aca="false">IF(OR($D8=1,$E8=1),SUM(INDEX(Model!$K$13:$DE$56,$A8-12,0))+SUM(INDEX(Model!$K$60:$DE$103,$A8-12,0)),0)</f>
        <v>-2920.55000000005</v>
      </c>
      <c r="J8" s="350" t="n">
        <f aca="false">2920</f>
        <v>2920</v>
      </c>
      <c r="K8" s="227" t="n">
        <f aca="false">IF(OR($D8=1,$E8=1),J8+IF(AND($D8=1,$O$1=1),0,I8),0)</f>
        <v>-0.550000000046566</v>
      </c>
      <c r="L8" s="351" t="n">
        <v>0.5</v>
      </c>
    </row>
    <row r="9" customFormat="false" ht="13.5" hidden="false" customHeight="true" outlineLevel="0" collapsed="false">
      <c r="A9" s="352" t="n">
        <v>18</v>
      </c>
      <c r="B9" s="353" t="s">
        <v>12</v>
      </c>
      <c r="C9" s="353" t="s">
        <v>1173</v>
      </c>
      <c r="D9" s="352" t="n">
        <v>1</v>
      </c>
      <c r="E9" s="352" t="n">
        <v>0</v>
      </c>
      <c r="F9" s="354" t="n">
        <v>0</v>
      </c>
      <c r="G9" s="357" t="n">
        <f aca="false">Retention!$F$7</f>
        <v>36</v>
      </c>
      <c r="H9" s="1" t="s">
        <v>1174</v>
      </c>
      <c r="I9" s="352" t="n">
        <f aca="false">IF(OR($D9=1,$E9=1),SUM(INDEX(Model!$K$13:$DE$56,$A9-12,0))+SUM(INDEX(Model!$K$60:$DE$103,$A9-12,0)),0)</f>
        <v>10991.7400000021</v>
      </c>
      <c r="J9" s="354" t="n">
        <f aca="false">36808214-36808214</f>
        <v>0</v>
      </c>
      <c r="K9" s="352" t="n">
        <f aca="false">IF(OR($D9=1,$E9=1),J9+IF(AND($D9=1,$O$1=1),0,I9),0)</f>
        <v>0</v>
      </c>
      <c r="L9" s="355" t="n">
        <v>0</v>
      </c>
    </row>
    <row r="10" customFormat="false" ht="13.5" hidden="false" customHeight="true" outlineLevel="0" collapsed="false">
      <c r="A10" s="227" t="n">
        <v>19</v>
      </c>
      <c r="B10" s="225" t="s">
        <v>13</v>
      </c>
      <c r="C10" s="225" t="s">
        <v>1173</v>
      </c>
      <c r="D10" s="227" t="n">
        <v>1</v>
      </c>
      <c r="E10" s="227" t="n">
        <v>0</v>
      </c>
      <c r="F10" s="350" t="n">
        <v>0</v>
      </c>
      <c r="G10" s="356" t="n">
        <f aca="false">Retention!$F$8</f>
        <v>24</v>
      </c>
      <c r="H10" s="1" t="s">
        <v>1174</v>
      </c>
      <c r="I10" s="227" t="n">
        <f aca="false">IF(OR($D10=1,$E10=1),SUM(INDEX(Model!$K$13:$DE$56,$A10-12,0))+SUM(INDEX(Model!$K$60:$DE$103,$A10-12,0)),0)</f>
        <v>597.490000000224</v>
      </c>
      <c r="J10" s="350" t="n">
        <f aca="false">11237427-11237427</f>
        <v>0</v>
      </c>
      <c r="K10" s="227" t="n">
        <f aca="false">IF(OR($D10=1,$E10=1),J10+IF(AND($D10=1,$O$1=1),0,I10),0)</f>
        <v>0</v>
      </c>
      <c r="L10" s="351" t="n">
        <v>0</v>
      </c>
    </row>
    <row r="11" customFormat="false" ht="13.5" hidden="false" customHeight="true" outlineLevel="0" collapsed="false">
      <c r="A11" s="352" t="n">
        <v>20</v>
      </c>
      <c r="B11" s="353" t="s">
        <v>14</v>
      </c>
      <c r="C11" s="353" t="s">
        <v>1173</v>
      </c>
      <c r="D11" s="352" t="n">
        <v>1</v>
      </c>
      <c r="E11" s="352" t="n">
        <v>0</v>
      </c>
      <c r="F11" s="354" t="n">
        <v>0</v>
      </c>
      <c r="G11" s="357" t="n">
        <f aca="false">Retention!$F$9</f>
        <v>23</v>
      </c>
      <c r="H11" s="1" t="s">
        <v>1174</v>
      </c>
      <c r="I11" s="352" t="n">
        <f aca="false">IF(OR($D11=1,$E11=1),SUM(INDEX(Model!$K$13:$DE$56,$A11-12,0))+SUM(INDEX(Model!$K$60:$DE$103,$A11-12,0)),0)</f>
        <v>3464.53000000119</v>
      </c>
      <c r="J11" s="354" t="n">
        <f aca="false">12399460-12399460</f>
        <v>0</v>
      </c>
      <c r="K11" s="352" t="n">
        <f aca="false">IF(OR($D11=1,$E11=1),J11+IF(AND($D11=1,$O$1=1),0,I11),0)</f>
        <v>0</v>
      </c>
      <c r="L11" s="355" t="n">
        <v>0</v>
      </c>
    </row>
    <row r="12" customFormat="false" ht="13.5" hidden="false" customHeight="true" outlineLevel="0" collapsed="false">
      <c r="A12" s="227" t="n">
        <v>21</v>
      </c>
      <c r="B12" s="225" t="s">
        <v>15</v>
      </c>
      <c r="C12" s="225" t="s">
        <v>1173</v>
      </c>
      <c r="D12" s="227" t="n">
        <v>1</v>
      </c>
      <c r="E12" s="227" t="n">
        <v>0</v>
      </c>
      <c r="F12" s="350" t="n">
        <v>0</v>
      </c>
      <c r="G12" s="356" t="n">
        <f aca="false">Retention!$F$10</f>
        <v>38</v>
      </c>
      <c r="H12" s="1" t="s">
        <v>1174</v>
      </c>
      <c r="I12" s="227" t="n">
        <f aca="false">IF(OR($D12=1,$E12=1),SUM(INDEX(Model!$K$13:$DE$56,$A12-12,0))+SUM(INDEX(Model!$K$60:$DE$103,$A12-12,0)),0)</f>
        <v>0</v>
      </c>
      <c r="J12" s="350" t="n">
        <v>0</v>
      </c>
      <c r="K12" s="227" t="n">
        <f aca="false">IF(OR($D12=1,$E12=1),J12+IF(AND($D12=1,$O$1=1),0,I12),0)</f>
        <v>0</v>
      </c>
      <c r="L12" s="351" t="n">
        <v>0</v>
      </c>
    </row>
    <row r="13" customFormat="false" ht="13.5" hidden="false" customHeight="true" outlineLevel="0" collapsed="false">
      <c r="A13" s="352" t="n">
        <v>22</v>
      </c>
      <c r="B13" s="353" t="s">
        <v>16</v>
      </c>
      <c r="C13" s="353" t="s">
        <v>1171</v>
      </c>
      <c r="D13" s="352" t="n">
        <v>0</v>
      </c>
      <c r="E13" s="352" t="n">
        <v>1</v>
      </c>
      <c r="F13" s="354" t="n">
        <v>0</v>
      </c>
      <c r="G13" s="357" t="n">
        <f aca="false">Retention!$F$11</f>
        <v>29</v>
      </c>
      <c r="H13" s="353" t="s">
        <v>1172</v>
      </c>
      <c r="I13" s="352" t="n">
        <f aca="false">IF(OR($D13=1,$E13=1),SUM(INDEX(Model!$K$13:$DE$56,$A13-12,0))+SUM(INDEX(Model!$K$60:$DE$103,$A13-12,0)),0)</f>
        <v>0</v>
      </c>
      <c r="J13" s="354" t="n">
        <v>0</v>
      </c>
      <c r="K13" s="352" t="n">
        <f aca="false">IF(OR($D13=1,$E13=1),J13+IF(AND($D13=1,$O$1=1),0,I13),0)</f>
        <v>0</v>
      </c>
      <c r="L13" s="355" t="n">
        <v>0.5</v>
      </c>
    </row>
    <row r="14" customFormat="false" ht="13.5" hidden="false" customHeight="true" outlineLevel="0" collapsed="false">
      <c r="A14" s="227" t="n">
        <v>23</v>
      </c>
      <c r="B14" s="225" t="s">
        <v>17</v>
      </c>
      <c r="C14" s="225" t="s">
        <v>1171</v>
      </c>
      <c r="D14" s="227" t="n">
        <v>0</v>
      </c>
      <c r="E14" s="227" t="n">
        <v>1</v>
      </c>
      <c r="F14" s="350" t="n">
        <v>0</v>
      </c>
      <c r="G14" s="356" t="n">
        <f aca="false">Retention!$F$12</f>
        <v>28</v>
      </c>
      <c r="H14" s="225" t="s">
        <v>1172</v>
      </c>
      <c r="I14" s="227" t="n">
        <f aca="false">IF(OR($D14=1,$E14=1),SUM(INDEX(Model!$K$13:$DE$56,$A14-12,0))+SUM(INDEX(Model!$K$60:$DE$103,$A14-12,0)),0)</f>
        <v>0</v>
      </c>
      <c r="J14" s="350" t="n">
        <v>0</v>
      </c>
      <c r="K14" s="227" t="n">
        <f aca="false">IF(OR($D14=1,$E14=1),J14+IF(AND($D14=1,$O$1=1),0,I14),0)</f>
        <v>0</v>
      </c>
      <c r="L14" s="351" t="n">
        <v>0.5</v>
      </c>
    </row>
    <row r="15" customFormat="false" ht="13.5" hidden="false" customHeight="true" outlineLevel="0" collapsed="false">
      <c r="A15" s="352" t="n">
        <v>24</v>
      </c>
      <c r="B15" s="353" t="s">
        <v>18</v>
      </c>
      <c r="C15" s="353" t="s">
        <v>1173</v>
      </c>
      <c r="D15" s="352" t="n">
        <v>1</v>
      </c>
      <c r="E15" s="352" t="n">
        <v>0</v>
      </c>
      <c r="F15" s="354" t="n">
        <v>0</v>
      </c>
      <c r="G15" s="357" t="n">
        <f aca="false">Retention!$F$13</f>
        <v>44</v>
      </c>
      <c r="H15" s="1" t="s">
        <v>1174</v>
      </c>
      <c r="I15" s="352" t="n">
        <f aca="false">IF(OR($D15=1,$E15=1),SUM(INDEX(Model!$K$13:$DE$56,$A15-12,0))+SUM(INDEX(Model!$K$60:$DE$103,$A15-12,0)),0)</f>
        <v>0</v>
      </c>
      <c r="J15" s="354" t="n">
        <v>0</v>
      </c>
      <c r="K15" s="352" t="n">
        <f aca="false">IF(OR($D15=1,$E15=1),J15+IF(AND($D15=1,$O$1=1),0,I15),0)</f>
        <v>0</v>
      </c>
      <c r="L15" s="355" t="n">
        <v>0</v>
      </c>
    </row>
    <row r="16" customFormat="false" ht="13.5" hidden="false" customHeight="true" outlineLevel="0" collapsed="false">
      <c r="A16" s="227" t="n">
        <v>25</v>
      </c>
      <c r="B16" s="225" t="s">
        <v>19</v>
      </c>
      <c r="C16" s="225" t="s">
        <v>1173</v>
      </c>
      <c r="D16" s="227" t="n">
        <v>1</v>
      </c>
      <c r="E16" s="227" t="n">
        <v>0</v>
      </c>
      <c r="F16" s="350" t="n">
        <v>0</v>
      </c>
      <c r="G16" s="356" t="n">
        <f aca="false">Retention!$F$14</f>
        <v>56</v>
      </c>
      <c r="H16" s="1" t="s">
        <v>1174</v>
      </c>
      <c r="I16" s="227" t="n">
        <f aca="false">IF(OR($D16=1,$E16=1),SUM(INDEX(Model!$K$13:$DE$56,$A16-12,0))+SUM(INDEX(Model!$K$60:$DE$103,$A16-12,0)),0)</f>
        <v>0</v>
      </c>
      <c r="J16" s="350" t="n">
        <v>0</v>
      </c>
      <c r="K16" s="227" t="n">
        <f aca="false">IF(OR($D16=1,$E16=1),J16+IF(AND($D16=1,$O$1=1),0,I16),0)</f>
        <v>0</v>
      </c>
      <c r="L16" s="351" t="n">
        <v>0</v>
      </c>
    </row>
    <row r="17" customFormat="false" ht="13.5" hidden="false" customHeight="true" outlineLevel="0" collapsed="false">
      <c r="A17" s="352" t="n">
        <v>26</v>
      </c>
      <c r="B17" s="353" t="s">
        <v>20</v>
      </c>
      <c r="C17" s="353" t="s">
        <v>1173</v>
      </c>
      <c r="D17" s="352" t="n">
        <v>1</v>
      </c>
      <c r="E17" s="352" t="n">
        <v>0</v>
      </c>
      <c r="F17" s="354" t="n">
        <v>0</v>
      </c>
      <c r="G17" s="357" t="n">
        <f aca="false">Retention!$F$15</f>
        <v>36</v>
      </c>
      <c r="H17" s="1" t="s">
        <v>1174</v>
      </c>
      <c r="I17" s="352" t="n">
        <f aca="false">IF(OR($D17=1,$E17=1),SUM(INDEX(Model!$K$13:$DE$56,$A17-12,0))+SUM(INDEX(Model!$K$60:$DE$103,$A17-12,0)),0)</f>
        <v>0</v>
      </c>
      <c r="J17" s="354" t="n">
        <v>0</v>
      </c>
      <c r="K17" s="352" t="n">
        <f aca="false">IF(OR($D17=1,$E17=1),J17+IF(AND($D17=1,$O$1=1),0,I17),0)</f>
        <v>0</v>
      </c>
      <c r="L17" s="355" t="n">
        <v>0</v>
      </c>
    </row>
    <row r="18" customFormat="false" ht="13.5" hidden="false" customHeight="true" outlineLevel="0" collapsed="false">
      <c r="A18" s="227" t="n">
        <v>27</v>
      </c>
      <c r="B18" s="225" t="s">
        <v>21</v>
      </c>
      <c r="C18" s="225" t="s">
        <v>1173</v>
      </c>
      <c r="D18" s="227" t="n">
        <v>1</v>
      </c>
      <c r="E18" s="227" t="n">
        <v>0</v>
      </c>
      <c r="F18" s="350" t="n">
        <v>0</v>
      </c>
      <c r="G18" s="356" t="n">
        <f aca="false">Retention!$F$16</f>
        <v>32</v>
      </c>
      <c r="H18" s="1" t="s">
        <v>1174</v>
      </c>
      <c r="I18" s="227" t="n">
        <f aca="false">IF(OR($D18=1,$E18=1),SUM(INDEX(Model!$K$13:$DE$56,$A18-12,0))+SUM(INDEX(Model!$K$60:$DE$103,$A18-12,0)),0)</f>
        <v>0</v>
      </c>
      <c r="J18" s="350" t="n">
        <v>0</v>
      </c>
      <c r="K18" s="227" t="n">
        <f aca="false">IF(OR($D18=1,$E18=1),J18+IF(AND($D18=1,$O$1=1),0,I18),0)</f>
        <v>0</v>
      </c>
      <c r="L18" s="351" t="n">
        <v>0</v>
      </c>
    </row>
    <row r="19" customFormat="false" ht="13.5" hidden="false" customHeight="true" outlineLevel="0" collapsed="false">
      <c r="A19" s="352" t="n">
        <v>28</v>
      </c>
      <c r="B19" s="353" t="s">
        <v>22</v>
      </c>
      <c r="C19" s="353" t="s">
        <v>1173</v>
      </c>
      <c r="D19" s="352" t="n">
        <v>1</v>
      </c>
      <c r="E19" s="352" t="n">
        <v>0</v>
      </c>
      <c r="F19" s="354" t="n">
        <v>0</v>
      </c>
      <c r="G19" s="357" t="n">
        <f aca="false">Retention!$F$17</f>
        <v>30</v>
      </c>
      <c r="H19" s="1" t="s">
        <v>1174</v>
      </c>
      <c r="I19" s="352" t="n">
        <f aca="false">IF(OR($D19=1,$E19=1),SUM(INDEX(Model!$K$13:$DE$56,$A19-12,0))+SUM(INDEX(Model!$K$60:$DE$103,$A19-12,0)),0)</f>
        <v>0</v>
      </c>
      <c r="J19" s="354" t="n">
        <v>0</v>
      </c>
      <c r="K19" s="352" t="n">
        <f aca="false">IF(OR($D19=1,$E19=1),J19+IF(AND($D19=1,$O$1=1),0,I19),0)</f>
        <v>0</v>
      </c>
      <c r="L19" s="355" t="n">
        <v>0</v>
      </c>
    </row>
    <row r="20" customFormat="false" ht="13.5" hidden="false" customHeight="true" outlineLevel="0" collapsed="false">
      <c r="A20" s="227" t="n">
        <v>29</v>
      </c>
      <c r="B20" s="225" t="s">
        <v>23</v>
      </c>
      <c r="C20" s="225" t="s">
        <v>1171</v>
      </c>
      <c r="D20" s="227" t="n">
        <v>0</v>
      </c>
      <c r="E20" s="227" t="n">
        <v>1</v>
      </c>
      <c r="F20" s="350" t="n">
        <v>0</v>
      </c>
      <c r="G20" s="356" t="n">
        <f aca="false">Retention!$F$18</f>
        <v>43</v>
      </c>
      <c r="H20" s="225" t="s">
        <v>1172</v>
      </c>
      <c r="I20" s="227" t="n">
        <f aca="false">IF(OR($D20=1,$E20=1),SUM(INDEX(Model!$K$13:$DE$56,$A20-12,0))+SUM(INDEX(Model!$K$60:$DE$103,$A20-12,0)),0)</f>
        <v>0</v>
      </c>
      <c r="J20" s="350" t="n">
        <v>0</v>
      </c>
      <c r="K20" s="227" t="n">
        <f aca="false">IF(OR($D20=1,$E20=1),J20+IF(AND($D20=1,$O$1=1),0,I20),0)</f>
        <v>0</v>
      </c>
      <c r="L20" s="351" t="n">
        <v>0.5</v>
      </c>
    </row>
    <row r="21" customFormat="false" ht="13.5" hidden="false" customHeight="true" outlineLevel="0" collapsed="false">
      <c r="A21" s="352" t="n">
        <v>30</v>
      </c>
      <c r="B21" s="353" t="s">
        <v>24</v>
      </c>
      <c r="C21" s="353" t="s">
        <v>1171</v>
      </c>
      <c r="D21" s="352" t="n">
        <v>0</v>
      </c>
      <c r="E21" s="352" t="n">
        <v>1</v>
      </c>
      <c r="F21" s="354" t="n">
        <v>0</v>
      </c>
      <c r="G21" s="357" t="n">
        <f aca="false">Retention!$F$19</f>
        <v>28</v>
      </c>
      <c r="H21" s="353" t="s">
        <v>1172</v>
      </c>
      <c r="I21" s="352" t="n">
        <f aca="false">IF(OR($D21=1,$E21=1),SUM(INDEX(Model!$K$13:$DE$56,$A21-12,0))+SUM(INDEX(Model!$K$60:$DE$103,$A21-12,0)),0)</f>
        <v>0</v>
      </c>
      <c r="J21" s="354" t="n">
        <v>0</v>
      </c>
      <c r="K21" s="352" t="n">
        <f aca="false">IF(OR($D21=1,$E21=1),J21+IF(AND($D21=1,$O$1=1),0,I21),0)</f>
        <v>0</v>
      </c>
      <c r="L21" s="355" t="n">
        <v>0.5</v>
      </c>
    </row>
    <row r="22" customFormat="false" ht="13.5" hidden="false" customHeight="true" outlineLevel="0" collapsed="false">
      <c r="A22" s="227" t="n">
        <v>31</v>
      </c>
      <c r="B22" s="225" t="s">
        <v>25</v>
      </c>
      <c r="C22" s="225" t="s">
        <v>1173</v>
      </c>
      <c r="D22" s="227" t="n">
        <v>1</v>
      </c>
      <c r="E22" s="227" t="n">
        <v>0</v>
      </c>
      <c r="F22" s="350" t="n">
        <v>0</v>
      </c>
      <c r="G22" s="356" t="n">
        <f aca="false">Retention!$F$20</f>
        <v>37</v>
      </c>
      <c r="H22" s="225" t="s">
        <v>1174</v>
      </c>
      <c r="I22" s="227" t="n">
        <f aca="false">IF(OR($D22=1,$E22=1),SUM(INDEX(Model!$K$13:$DE$56,$A22-12,0))+SUM(INDEX(Model!$K$60:$DE$103,$A22-12,0)),0)</f>
        <v>0</v>
      </c>
      <c r="J22" s="350" t="n">
        <v>0</v>
      </c>
      <c r="K22" s="227" t="n">
        <f aca="false">IF(OR($D22=1,$E22=1),J22+IF(AND($D22=1,$O$1=1),0,I22),0)</f>
        <v>0</v>
      </c>
      <c r="L22" s="351" t="n">
        <v>0</v>
      </c>
    </row>
    <row r="23" customFormat="false" ht="13.5" hidden="false" customHeight="true" outlineLevel="0" collapsed="false">
      <c r="A23" s="352" t="n">
        <v>32</v>
      </c>
      <c r="B23" s="353" t="s">
        <v>26</v>
      </c>
      <c r="C23" s="353" t="s">
        <v>1173</v>
      </c>
      <c r="D23" s="352" t="n">
        <v>1</v>
      </c>
      <c r="E23" s="352" t="n">
        <v>0</v>
      </c>
      <c r="F23" s="354" t="n">
        <v>0</v>
      </c>
      <c r="G23" s="357" t="n">
        <f aca="false">Retention!$F$21</f>
        <v>52</v>
      </c>
      <c r="H23" s="353" t="s">
        <v>1174</v>
      </c>
      <c r="I23" s="352" t="n">
        <f aca="false">IF(OR($D23=1,$E23=1),SUM(INDEX(Model!$K$13:$DE$56,$A23-12,0))+SUM(INDEX(Model!$K$60:$DE$103,$A23-12,0)),0)</f>
        <v>0</v>
      </c>
      <c r="J23" s="354" t="n">
        <v>0</v>
      </c>
      <c r="K23" s="352" t="n">
        <f aca="false">IF(OR($D23=1,$E23=1),J23+IF(AND($D23=1,$O$1=1),0,I23),0)</f>
        <v>0</v>
      </c>
      <c r="L23" s="355" t="n">
        <v>0</v>
      </c>
    </row>
    <row r="24" customFormat="false" ht="13.5" hidden="false" customHeight="true" outlineLevel="0" collapsed="false">
      <c r="A24" s="227" t="n">
        <v>33</v>
      </c>
      <c r="B24" s="225" t="s">
        <v>27</v>
      </c>
      <c r="C24" s="225" t="s">
        <v>1173</v>
      </c>
      <c r="D24" s="227" t="n">
        <v>1</v>
      </c>
      <c r="E24" s="227" t="n">
        <v>0</v>
      </c>
      <c r="F24" s="350" t="n">
        <v>0</v>
      </c>
      <c r="G24" s="356" t="n">
        <f aca="false">Retention!$F$22</f>
        <v>55</v>
      </c>
      <c r="H24" s="225" t="s">
        <v>1174</v>
      </c>
      <c r="I24" s="227" t="n">
        <f aca="false">IF(OR($D24=1,$E24=1),SUM(INDEX(Model!$K$13:$DE$56,$A24-12,0))+SUM(INDEX(Model!$K$60:$DE$103,$A24-12,0)),0)</f>
        <v>0</v>
      </c>
      <c r="J24" s="350" t="n">
        <v>0</v>
      </c>
      <c r="K24" s="227" t="n">
        <f aca="false">IF(OR($D24=1,$E24=1),J24+IF(AND($D24=1,$O$1=1),0,I24),0)</f>
        <v>0</v>
      </c>
      <c r="L24" s="351" t="n">
        <v>0</v>
      </c>
    </row>
    <row r="25" customFormat="false" ht="13.5" hidden="false" customHeight="true" outlineLevel="0" collapsed="false">
      <c r="A25" s="352" t="n">
        <v>34</v>
      </c>
      <c r="B25" s="353" t="s">
        <v>28</v>
      </c>
      <c r="C25" s="353" t="s">
        <v>1173</v>
      </c>
      <c r="D25" s="352" t="n">
        <v>1</v>
      </c>
      <c r="E25" s="352" t="n">
        <v>0</v>
      </c>
      <c r="F25" s="354" t="n">
        <v>0</v>
      </c>
      <c r="G25" s="357" t="n">
        <f aca="false">Retention!$F$23</f>
        <v>58</v>
      </c>
      <c r="H25" s="353" t="s">
        <v>1174</v>
      </c>
      <c r="I25" s="352" t="n">
        <f aca="false">IF(OR($D25=1,$E25=1),SUM(INDEX(Model!$K$13:$DE$56,$A25-12,0))+SUM(INDEX(Model!$K$60:$DE$103,$A25-12,0)),0)</f>
        <v>0</v>
      </c>
      <c r="J25" s="354" t="n">
        <v>0</v>
      </c>
      <c r="K25" s="352" t="n">
        <f aca="false">IF(OR($D25=1,$E25=1),J25+IF(AND($D25=1,$O$1=1),0,I25),0)</f>
        <v>0</v>
      </c>
      <c r="L25" s="355" t="n">
        <v>0</v>
      </c>
    </row>
    <row r="26" customFormat="false" ht="13.5" hidden="false" customHeight="true" outlineLevel="0" collapsed="false">
      <c r="A26" s="227" t="n">
        <v>35</v>
      </c>
      <c r="B26" s="225" t="s">
        <v>29</v>
      </c>
      <c r="C26" s="225" t="s">
        <v>1173</v>
      </c>
      <c r="D26" s="227" t="n">
        <v>1</v>
      </c>
      <c r="E26" s="227" t="n">
        <v>0</v>
      </c>
      <c r="F26" s="350" t="n">
        <v>0</v>
      </c>
      <c r="G26" s="356" t="n">
        <f aca="false">Retention!$F$24</f>
        <v>60</v>
      </c>
      <c r="H26" s="225" t="s">
        <v>1174</v>
      </c>
      <c r="I26" s="227" t="n">
        <f aca="false">IF(OR($D26=1,$E26=1),SUM(INDEX(Model!$K$13:$DE$56,$A26-12,0))+SUM(INDEX(Model!$K$60:$DE$103,$A26-12,0)),0)</f>
        <v>0</v>
      </c>
      <c r="J26" s="350" t="n">
        <v>0</v>
      </c>
      <c r="K26" s="227" t="n">
        <f aca="false">IF(OR($D26=1,$E26=1),J26+IF(AND($D26=1,$O$1=1),0,I26),0)</f>
        <v>0</v>
      </c>
      <c r="L26" s="351" t="n">
        <v>0</v>
      </c>
    </row>
    <row r="27" customFormat="false" ht="13.5" hidden="false" customHeight="true" outlineLevel="0" collapsed="false">
      <c r="A27" s="352" t="n">
        <v>36</v>
      </c>
      <c r="B27" s="353" t="s">
        <v>30</v>
      </c>
      <c r="C27" s="353" t="s">
        <v>1173</v>
      </c>
      <c r="D27" s="352" t="n">
        <v>1</v>
      </c>
      <c r="E27" s="352" t="n">
        <v>0</v>
      </c>
      <c r="F27" s="354" t="n">
        <v>0</v>
      </c>
      <c r="G27" s="357" t="n">
        <f aca="false">Retention!$F$25</f>
        <v>62</v>
      </c>
      <c r="H27" s="353" t="s">
        <v>1174</v>
      </c>
      <c r="I27" s="352" t="n">
        <f aca="false">IF(OR($D27=1,$E27=1),SUM(INDEX(Model!$K$13:$DE$56,$A27-12,0))+SUM(INDEX(Model!$K$60:$DE$103,$A27-12,0)),0)</f>
        <v>0</v>
      </c>
      <c r="J27" s="354" t="n">
        <v>0</v>
      </c>
      <c r="K27" s="352" t="n">
        <f aca="false">IF(OR($D27=1,$E27=1),J27+IF(AND($D27=1,$O$1=1),0,I27),0)</f>
        <v>0</v>
      </c>
      <c r="L27" s="355" t="n">
        <v>0</v>
      </c>
    </row>
    <row r="28" customFormat="false" ht="13.5" hidden="false" customHeight="true" outlineLevel="0" collapsed="false">
      <c r="A28" s="227" t="n">
        <v>37</v>
      </c>
      <c r="B28" s="225" t="s">
        <v>31</v>
      </c>
      <c r="C28" s="225" t="s">
        <v>1173</v>
      </c>
      <c r="D28" s="227" t="n">
        <v>1</v>
      </c>
      <c r="E28" s="227" t="n">
        <v>0</v>
      </c>
      <c r="F28" s="350" t="n">
        <v>0</v>
      </c>
      <c r="G28" s="356" t="n">
        <f aca="false">Retention!$F$26</f>
        <v>64</v>
      </c>
      <c r="H28" s="225" t="s">
        <v>1174</v>
      </c>
      <c r="I28" s="227" t="n">
        <f aca="false">IF(OR($D28=1,$E28=1),SUM(INDEX(Model!$K$13:$DE$56,$A28-12,0))+SUM(INDEX(Model!$K$60:$DE$103,$A28-12,0)),0)</f>
        <v>0</v>
      </c>
      <c r="J28" s="350" t="n">
        <v>0</v>
      </c>
      <c r="K28" s="227" t="n">
        <f aca="false">IF(OR($D28=1,$E28=1),J28+IF(AND($D28=1,$O$1=1),0,I28),0)</f>
        <v>0</v>
      </c>
      <c r="L28" s="351" t="n">
        <v>0</v>
      </c>
    </row>
    <row r="29" customFormat="false" ht="13.5" hidden="false" customHeight="true" outlineLevel="0" collapsed="false">
      <c r="A29" s="352" t="n">
        <v>38</v>
      </c>
      <c r="B29" s="353" t="s">
        <v>32</v>
      </c>
      <c r="C29" s="353" t="s">
        <v>1173</v>
      </c>
      <c r="D29" s="352" t="n">
        <v>1</v>
      </c>
      <c r="E29" s="352" t="n">
        <v>0</v>
      </c>
      <c r="F29" s="354" t="n">
        <v>0</v>
      </c>
      <c r="G29" s="357" t="n">
        <f aca="false">Retention!$F$27</f>
        <v>66</v>
      </c>
      <c r="H29" s="353" t="s">
        <v>1174</v>
      </c>
      <c r="I29" s="352" t="n">
        <f aca="false">IF(OR($D29=1,$E29=1),SUM(INDEX(Model!$K$13:$DE$56,$A29-12,0))+SUM(INDEX(Model!$K$60:$DE$103,$A29-12,0)),0)</f>
        <v>0</v>
      </c>
      <c r="J29" s="354" t="n">
        <v>0</v>
      </c>
      <c r="K29" s="352" t="n">
        <f aca="false">IF(OR($D29=1,$E29=1),J29+IF(AND($D29=1,$O$1=1),0,I29),0)</f>
        <v>0</v>
      </c>
      <c r="L29" s="355" t="n">
        <v>0</v>
      </c>
    </row>
    <row r="30" customFormat="false" ht="13.5" hidden="false" customHeight="true" outlineLevel="0" collapsed="false">
      <c r="A30" s="227" t="n">
        <v>39</v>
      </c>
      <c r="B30" s="225" t="s">
        <v>33</v>
      </c>
      <c r="C30" s="225" t="s">
        <v>1173</v>
      </c>
      <c r="D30" s="227" t="n">
        <v>1</v>
      </c>
      <c r="E30" s="227" t="n">
        <v>0</v>
      </c>
      <c r="F30" s="350" t="n">
        <v>0</v>
      </c>
      <c r="G30" s="356" t="n">
        <f aca="false">Retention!$F$28</f>
        <v>68</v>
      </c>
      <c r="H30" s="225" t="s">
        <v>1174</v>
      </c>
      <c r="I30" s="227" t="n">
        <f aca="false">IF(OR($D30=1,$E30=1),SUM(INDEX(Model!$K$13:$DE$56,$A30-12,0))+SUM(INDEX(Model!$K$60:$DE$103,$A30-12,0)),0)</f>
        <v>0</v>
      </c>
      <c r="J30" s="350" t="n">
        <v>0</v>
      </c>
      <c r="K30" s="227" t="n">
        <f aca="false">IF(OR($D30=1,$E30=1),J30+IF(AND($D30=1,$O$1=1),0,I30),0)</f>
        <v>0</v>
      </c>
      <c r="L30" s="351" t="n">
        <v>0</v>
      </c>
    </row>
    <row r="31" customFormat="false" ht="13.5" hidden="false" customHeight="true" outlineLevel="0" collapsed="false">
      <c r="A31" s="352" t="n">
        <v>40</v>
      </c>
      <c r="B31" s="353" t="s">
        <v>34</v>
      </c>
      <c r="C31" s="353" t="s">
        <v>1173</v>
      </c>
      <c r="D31" s="352" t="n">
        <v>1</v>
      </c>
      <c r="E31" s="352" t="n">
        <v>0</v>
      </c>
      <c r="F31" s="354" t="n">
        <v>0</v>
      </c>
      <c r="G31" s="357" t="n">
        <f aca="false">Retention!$F$29</f>
        <v>70</v>
      </c>
      <c r="H31" s="353" t="s">
        <v>1174</v>
      </c>
      <c r="I31" s="352" t="n">
        <f aca="false">IF(OR($D31=1,$E31=1),SUM(INDEX(Model!$K$13:$DE$56,$A31-12,0))+SUM(INDEX(Model!$K$60:$DE$103,$A31-12,0)),0)</f>
        <v>0</v>
      </c>
      <c r="J31" s="354" t="n">
        <v>0</v>
      </c>
      <c r="K31" s="352" t="n">
        <f aca="false">IF(OR($D31=1,$E31=1),J31+IF(AND($D31=1,$O$1=1),0,I31),0)</f>
        <v>0</v>
      </c>
      <c r="L31" s="355" t="n">
        <v>0</v>
      </c>
    </row>
    <row r="32" customFormat="false" ht="13.5" hidden="false" customHeight="true" outlineLevel="0" collapsed="false">
      <c r="A32" s="227" t="n">
        <v>41</v>
      </c>
      <c r="B32" s="225" t="s">
        <v>35</v>
      </c>
      <c r="C32" s="225" t="s">
        <v>1173</v>
      </c>
      <c r="D32" s="227" t="n">
        <v>1</v>
      </c>
      <c r="E32" s="227" t="n">
        <v>0</v>
      </c>
      <c r="F32" s="350" t="n">
        <v>0</v>
      </c>
      <c r="G32" s="356" t="n">
        <f aca="false">Retention!$F$30</f>
        <v>72</v>
      </c>
      <c r="H32" s="225" t="s">
        <v>1174</v>
      </c>
      <c r="I32" s="227" t="n">
        <f aca="false">IF(OR($D32=1,$E32=1),SUM(INDEX(Model!$K$13:$DE$56,$A32-12,0))+SUM(INDEX(Model!$K$60:$DE$103,$A32-12,0)),0)</f>
        <v>0</v>
      </c>
      <c r="J32" s="350" t="n">
        <v>0</v>
      </c>
      <c r="K32" s="227" t="n">
        <f aca="false">IF(OR($D32=1,$E32=1),J32+IF(AND($D32=1,$O$1=1),0,I32),0)</f>
        <v>0</v>
      </c>
      <c r="L32" s="351" t="n">
        <v>0</v>
      </c>
    </row>
    <row r="33" customFormat="false" ht="13.5" hidden="false" customHeight="true" outlineLevel="0" collapsed="false">
      <c r="A33" s="352" t="n">
        <v>42</v>
      </c>
      <c r="B33" s="353" t="s">
        <v>36</v>
      </c>
      <c r="C33" s="353" t="s">
        <v>1173</v>
      </c>
      <c r="D33" s="352" t="n">
        <v>1</v>
      </c>
      <c r="E33" s="352" t="n">
        <v>0</v>
      </c>
      <c r="F33" s="354" t="n">
        <v>0</v>
      </c>
      <c r="G33" s="357" t="n">
        <f aca="false">Retention!$F$31</f>
        <v>74</v>
      </c>
      <c r="H33" s="353" t="s">
        <v>1174</v>
      </c>
      <c r="I33" s="352" t="n">
        <f aca="false">IF(OR($D33=1,$E33=1),SUM(INDEX(Model!$K$13:$DE$56,$A33-12,0))+SUM(INDEX(Model!$K$60:$DE$103,$A33-12,0)),0)</f>
        <v>0</v>
      </c>
      <c r="J33" s="354" t="n">
        <v>0</v>
      </c>
      <c r="K33" s="352" t="n">
        <f aca="false">IF(OR($D33=1,$E33=1),J33+IF(AND($D33=1,$O$1=1),0,I33),0)</f>
        <v>0</v>
      </c>
      <c r="L33" s="355" t="n">
        <v>0</v>
      </c>
    </row>
    <row r="34" customFormat="false" ht="13.5" hidden="false" customHeight="true" outlineLevel="0" collapsed="false">
      <c r="A34" s="227" t="n">
        <v>43</v>
      </c>
      <c r="B34" s="225" t="s">
        <v>37</v>
      </c>
      <c r="C34" s="225" t="s">
        <v>1173</v>
      </c>
      <c r="D34" s="227" t="n">
        <v>1</v>
      </c>
      <c r="E34" s="227" t="n">
        <v>0</v>
      </c>
      <c r="F34" s="350" t="n">
        <v>0</v>
      </c>
      <c r="G34" s="356" t="n">
        <f aca="false">Retention!$F$32</f>
        <v>76</v>
      </c>
      <c r="H34" s="225" t="s">
        <v>1174</v>
      </c>
      <c r="I34" s="227" t="n">
        <f aca="false">IF(OR($D34=1,$E34=1),SUM(INDEX(Model!$K$13:$DE$56,$A34-12,0))+SUM(INDEX(Model!$K$60:$DE$103,$A34-12,0)),0)</f>
        <v>0</v>
      </c>
      <c r="J34" s="350" t="n">
        <v>0</v>
      </c>
      <c r="K34" s="227" t="n">
        <f aca="false">IF(OR($D34=1,$E34=1),J34+IF(AND($D34=1,$O$1=1),0,I34),0)</f>
        <v>0</v>
      </c>
      <c r="L34" s="351" t="n">
        <v>0</v>
      </c>
    </row>
    <row r="35" customFormat="false" ht="13.5" hidden="false" customHeight="true" outlineLevel="0" collapsed="false">
      <c r="A35" s="352" t="n">
        <v>44</v>
      </c>
      <c r="B35" s="353" t="s">
        <v>38</v>
      </c>
      <c r="C35" s="353" t="s">
        <v>1173</v>
      </c>
      <c r="D35" s="352" t="n">
        <v>1</v>
      </c>
      <c r="E35" s="352" t="n">
        <v>0</v>
      </c>
      <c r="F35" s="354" t="n">
        <v>0</v>
      </c>
      <c r="G35" s="357" t="n">
        <f aca="false">Retention!$F$33</f>
        <v>78</v>
      </c>
      <c r="H35" s="353" t="s">
        <v>1174</v>
      </c>
      <c r="I35" s="352" t="n">
        <f aca="false">IF(OR($D35=1,$E35=1),SUM(INDEX(Model!$K$13:$DE$56,$A35-12,0))+SUM(INDEX(Model!$K$60:$DE$103,$A35-12,0)),0)</f>
        <v>0</v>
      </c>
      <c r="J35" s="354" t="n">
        <v>0</v>
      </c>
      <c r="K35" s="352" t="n">
        <f aca="false">IF(OR($D35=1,$E35=1),J35+IF(AND($D35=1,$O$1=1),0,I35),0)</f>
        <v>0</v>
      </c>
      <c r="L35" s="355" t="n">
        <v>0</v>
      </c>
    </row>
    <row r="36" customFormat="false" ht="13.5" hidden="false" customHeight="true" outlineLevel="0" collapsed="false">
      <c r="A36" s="227" t="n">
        <v>45</v>
      </c>
      <c r="B36" s="225" t="s">
        <v>39</v>
      </c>
      <c r="C36" s="225" t="s">
        <v>1173</v>
      </c>
      <c r="D36" s="227" t="n">
        <v>1</v>
      </c>
      <c r="E36" s="227" t="n">
        <v>0</v>
      </c>
      <c r="F36" s="350" t="n">
        <v>0</v>
      </c>
      <c r="G36" s="356" t="n">
        <f aca="false">Retention!$F$34</f>
        <v>80</v>
      </c>
      <c r="H36" s="225" t="s">
        <v>1174</v>
      </c>
      <c r="I36" s="227" t="n">
        <f aca="false">IF(OR($D36=1,$E36=1),SUM(INDEX(Model!$K$13:$DE$56,$A36-12,0))+SUM(INDEX(Model!$K$60:$DE$103,$A36-12,0)),0)</f>
        <v>0</v>
      </c>
      <c r="J36" s="350" t="n">
        <v>0</v>
      </c>
      <c r="K36" s="227" t="n">
        <f aca="false">IF(OR($D36=1,$E36=1),J36+IF(AND($D36=1,$O$1=1),0,I36),0)</f>
        <v>0</v>
      </c>
      <c r="L36" s="351" t="n">
        <v>0</v>
      </c>
    </row>
    <row r="37" customFormat="false" ht="13.5" hidden="false" customHeight="true" outlineLevel="0" collapsed="false">
      <c r="A37" s="352" t="n">
        <v>46</v>
      </c>
      <c r="B37" s="353" t="s">
        <v>40</v>
      </c>
      <c r="C37" s="353" t="s">
        <v>1173</v>
      </c>
      <c r="D37" s="352" t="n">
        <v>1</v>
      </c>
      <c r="E37" s="352" t="n">
        <v>0</v>
      </c>
      <c r="F37" s="354" t="n">
        <v>0</v>
      </c>
      <c r="G37" s="357" t="n">
        <f aca="false">Retention!$F$35</f>
        <v>82</v>
      </c>
      <c r="H37" s="353" t="s">
        <v>1174</v>
      </c>
      <c r="I37" s="352" t="n">
        <f aca="false">IF(OR($D37=1,$E37=1),SUM(INDEX(Model!$K$13:$DE$56,$A37-12,0))+SUM(INDEX(Model!$K$60:$DE$103,$A37-12,0)),0)</f>
        <v>0</v>
      </c>
      <c r="J37" s="354" t="n">
        <v>0</v>
      </c>
      <c r="K37" s="352" t="n">
        <f aca="false">IF(OR($D37=1,$E37=1),J37+IF(AND($D37=1,$O$1=1),0,I37),0)</f>
        <v>0</v>
      </c>
      <c r="L37" s="355" t="n">
        <v>0</v>
      </c>
    </row>
    <row r="38" customFormat="false" ht="13.5" hidden="false" customHeight="true" outlineLevel="0" collapsed="false">
      <c r="A38" s="227" t="n">
        <v>47</v>
      </c>
      <c r="B38" s="225" t="s">
        <v>41</v>
      </c>
      <c r="C38" s="225" t="s">
        <v>1173</v>
      </c>
      <c r="D38" s="227" t="n">
        <v>1</v>
      </c>
      <c r="E38" s="227" t="n">
        <v>0</v>
      </c>
      <c r="F38" s="350" t="n">
        <v>0</v>
      </c>
      <c r="G38" s="356" t="n">
        <f aca="false">Retention!$F$36</f>
        <v>84</v>
      </c>
      <c r="H38" s="225" t="s">
        <v>1174</v>
      </c>
      <c r="I38" s="227" t="n">
        <f aca="false">IF(OR($D38=1,$E38=1),SUM(INDEX(Model!$K$13:$DE$56,$A38-12,0))+SUM(INDEX(Model!$K$60:$DE$103,$A38-12,0)),0)</f>
        <v>0</v>
      </c>
      <c r="J38" s="350" t="n">
        <v>0</v>
      </c>
      <c r="K38" s="227" t="n">
        <f aca="false">IF(OR($D38=1,$E38=1),J38+IF(AND($D38=1,$O$1=1),0,I38),0)</f>
        <v>0</v>
      </c>
      <c r="L38" s="351" t="n">
        <v>0</v>
      </c>
    </row>
    <row r="39" customFormat="false" ht="13.5" hidden="false" customHeight="true" outlineLevel="0" collapsed="false">
      <c r="A39" s="352" t="n">
        <v>48</v>
      </c>
      <c r="B39" s="353" t="s">
        <v>42</v>
      </c>
      <c r="C39" s="353" t="s">
        <v>1173</v>
      </c>
      <c r="D39" s="352" t="n">
        <v>1</v>
      </c>
      <c r="E39" s="352" t="n">
        <v>0</v>
      </c>
      <c r="F39" s="354" t="n">
        <v>0</v>
      </c>
      <c r="G39" s="357" t="n">
        <f aca="false">Retention!$F$37</f>
        <v>86</v>
      </c>
      <c r="H39" s="353" t="s">
        <v>1174</v>
      </c>
      <c r="I39" s="352" t="n">
        <f aca="false">IF(OR($D39=1,$E39=1),SUM(INDEX(Model!$K$13:$DE$56,$A39-12,0))+SUM(INDEX(Model!$K$60:$DE$103,$A39-12,0)),0)</f>
        <v>0</v>
      </c>
      <c r="J39" s="354" t="n">
        <v>0</v>
      </c>
      <c r="K39" s="352" t="n">
        <f aca="false">IF(OR($D39=1,$E39=1),J39+IF(AND($D39=1,$O$1=1),0,I39),0)</f>
        <v>0</v>
      </c>
      <c r="L39" s="355" t="n">
        <v>0</v>
      </c>
    </row>
    <row r="40" customFormat="false" ht="13.5" hidden="false" customHeight="true" outlineLevel="0" collapsed="false">
      <c r="A40" s="227" t="n">
        <v>49</v>
      </c>
      <c r="B40" s="225" t="s">
        <v>43</v>
      </c>
      <c r="C40" s="225" t="s">
        <v>1173</v>
      </c>
      <c r="D40" s="227" t="n">
        <v>1</v>
      </c>
      <c r="E40" s="227" t="n">
        <v>0</v>
      </c>
      <c r="F40" s="350" t="n">
        <v>0</v>
      </c>
      <c r="G40" s="356" t="n">
        <f aca="false">Retention!$F$38</f>
        <v>88</v>
      </c>
      <c r="H40" s="225" t="s">
        <v>1174</v>
      </c>
      <c r="I40" s="227" t="n">
        <f aca="false">IF(OR($D40=1,$E40=1),SUM(INDEX(Model!$K$13:$DE$56,$A40-12,0))+SUM(INDEX(Model!$K$60:$DE$103,$A40-12,0)),0)</f>
        <v>0</v>
      </c>
      <c r="J40" s="350" t="n">
        <v>0</v>
      </c>
      <c r="K40" s="227" t="n">
        <f aca="false">IF(OR($D40=1,$E40=1),J40+IF(AND($D40=1,$O$1=1),0,I40),0)</f>
        <v>0</v>
      </c>
      <c r="L40" s="351" t="n">
        <v>0</v>
      </c>
    </row>
    <row r="41" customFormat="false" ht="13.5" hidden="false" customHeight="true" outlineLevel="0" collapsed="false">
      <c r="A41" s="352" t="n">
        <v>50</v>
      </c>
      <c r="B41" s="353" t="s">
        <v>44</v>
      </c>
      <c r="C41" s="353" t="s">
        <v>1173</v>
      </c>
      <c r="D41" s="352" t="n">
        <v>1</v>
      </c>
      <c r="E41" s="352" t="n">
        <v>0</v>
      </c>
      <c r="F41" s="354" t="n">
        <v>0</v>
      </c>
      <c r="G41" s="357" t="n">
        <f aca="false">Retention!$F$39</f>
        <v>90</v>
      </c>
      <c r="H41" s="353" t="s">
        <v>1174</v>
      </c>
      <c r="I41" s="352" t="n">
        <f aca="false">IF(OR($D41=1,$E41=1),SUM(INDEX(Model!$K$13:$DE$56,$A41-12,0))+SUM(INDEX(Model!$K$60:$DE$103,$A41-12,0)),0)</f>
        <v>0</v>
      </c>
      <c r="J41" s="354" t="n">
        <v>0</v>
      </c>
      <c r="K41" s="352" t="n">
        <f aca="false">IF(OR($D41=1,$E41=1),J41+IF(AND($D41=1,$O$1=1),0,I41),0)</f>
        <v>0</v>
      </c>
      <c r="L41" s="355" t="n">
        <v>0</v>
      </c>
    </row>
    <row r="42" customFormat="false" ht="13.5" hidden="false" customHeight="true" outlineLevel="0" collapsed="false">
      <c r="A42" s="227" t="n">
        <v>51</v>
      </c>
      <c r="B42" s="225" t="s">
        <v>45</v>
      </c>
      <c r="C42" s="225" t="s">
        <v>1173</v>
      </c>
      <c r="D42" s="227" t="n">
        <v>1</v>
      </c>
      <c r="E42" s="227" t="n">
        <v>0</v>
      </c>
      <c r="F42" s="350" t="n">
        <v>0</v>
      </c>
      <c r="G42" s="356" t="n">
        <f aca="false">Retention!$F$40</f>
        <v>92</v>
      </c>
      <c r="H42" s="225" t="s">
        <v>1174</v>
      </c>
      <c r="I42" s="227" t="n">
        <f aca="false">IF(OR($D42=1,$E42=1),SUM(INDEX(Model!$K$13:$DE$56,$A42-12,0))+SUM(INDEX(Model!$K$60:$DE$103,$A42-12,0)),0)</f>
        <v>0</v>
      </c>
      <c r="J42" s="350" t="n">
        <v>0</v>
      </c>
      <c r="K42" s="227" t="n">
        <f aca="false">IF(OR($D42=1,$E42=1),J42+IF(AND($D42=1,$O$1=1),0,I42),0)</f>
        <v>0</v>
      </c>
      <c r="L42" s="351" t="n">
        <v>0</v>
      </c>
    </row>
    <row r="43" customFormat="false" ht="13.5" hidden="false" customHeight="true" outlineLevel="0" collapsed="false">
      <c r="A43" s="352" t="n">
        <v>52</v>
      </c>
      <c r="B43" s="353" t="s">
        <v>46</v>
      </c>
      <c r="C43" s="353" t="s">
        <v>1173</v>
      </c>
      <c r="D43" s="352" t="n">
        <v>1</v>
      </c>
      <c r="E43" s="352" t="n">
        <v>0</v>
      </c>
      <c r="F43" s="354" t="n">
        <v>0</v>
      </c>
      <c r="G43" s="357" t="n">
        <f aca="false">Retention!$F$41</f>
        <v>94</v>
      </c>
      <c r="H43" s="353" t="s">
        <v>1174</v>
      </c>
      <c r="I43" s="352" t="n">
        <f aca="false">IF(OR($D43=1,$E43=1),SUM(INDEX(Model!$K$13:$DE$56,$A43-12,0))+SUM(INDEX(Model!$K$60:$DE$103,$A43-12,0)),0)</f>
        <v>0</v>
      </c>
      <c r="J43" s="354" t="n">
        <v>0</v>
      </c>
      <c r="K43" s="352" t="n">
        <f aca="false">IF(OR($D43=1,$E43=1),J43+IF(AND($D43=1,$O$1=1),0,I43),0)</f>
        <v>0</v>
      </c>
      <c r="L43" s="355" t="n">
        <v>0</v>
      </c>
    </row>
    <row r="44" customFormat="false" ht="13.5" hidden="false" customHeight="true" outlineLevel="0" collapsed="false">
      <c r="A44" s="227" t="n">
        <v>53</v>
      </c>
      <c r="B44" s="225" t="s">
        <v>47</v>
      </c>
      <c r="C44" s="225" t="s">
        <v>1173</v>
      </c>
      <c r="D44" s="227" t="n">
        <v>1</v>
      </c>
      <c r="E44" s="227" t="n">
        <v>0</v>
      </c>
      <c r="F44" s="350" t="n">
        <v>0</v>
      </c>
      <c r="G44" s="356" t="n">
        <f aca="false">Retention!$F$42</f>
        <v>96</v>
      </c>
      <c r="H44" s="225" t="s">
        <v>1174</v>
      </c>
      <c r="I44" s="227" t="n">
        <f aca="false">IF(OR($D44=1,$E44=1),SUM(INDEX(Model!$K$13:$DE$56,$A44-12,0))+SUM(INDEX(Model!$K$60:$DE$103,$A44-12,0)),0)</f>
        <v>0</v>
      </c>
      <c r="J44" s="350" t="n">
        <v>0</v>
      </c>
      <c r="K44" s="227" t="n">
        <f aca="false">IF(OR($D44=1,$E44=1),J44+IF(AND($D44=1,$O$1=1),0,I44),0)</f>
        <v>0</v>
      </c>
      <c r="L44" s="351" t="n">
        <v>0</v>
      </c>
    </row>
    <row r="45" customFormat="false" ht="13.5" hidden="false" customHeight="true" outlineLevel="0" collapsed="false">
      <c r="A45" s="352" t="n">
        <v>54</v>
      </c>
      <c r="B45" s="353" t="s">
        <v>48</v>
      </c>
      <c r="C45" s="353" t="s">
        <v>1173</v>
      </c>
      <c r="D45" s="352" t="n">
        <v>1</v>
      </c>
      <c r="E45" s="352" t="n">
        <v>0</v>
      </c>
      <c r="F45" s="354" t="n">
        <v>0</v>
      </c>
      <c r="G45" s="357" t="n">
        <f aca="false">Retention!$F$43</f>
        <v>98</v>
      </c>
      <c r="H45" s="353" t="s">
        <v>1174</v>
      </c>
      <c r="I45" s="352" t="n">
        <f aca="false">IF(OR($D45=1,$E45=1),SUM(INDEX(Model!$K$13:$DE$56,$A45-12,0))+SUM(INDEX(Model!$K$60:$DE$103,$A45-12,0)),0)</f>
        <v>0</v>
      </c>
      <c r="J45" s="354" t="n">
        <v>0</v>
      </c>
      <c r="K45" s="352" t="n">
        <f aca="false">IF(OR($D45=1,$E45=1),J45+IF(AND($D45=1,$O$1=1),0,I45),0)</f>
        <v>0</v>
      </c>
      <c r="L45" s="355" t="n">
        <v>0</v>
      </c>
    </row>
    <row r="46" customFormat="false" ht="13.5" hidden="false" customHeight="true" outlineLevel="0" collapsed="false">
      <c r="A46" s="227" t="n">
        <v>55</v>
      </c>
      <c r="B46" s="225" t="s">
        <v>49</v>
      </c>
      <c r="C46" s="225" t="s">
        <v>1173</v>
      </c>
      <c r="D46" s="227" t="n">
        <v>1</v>
      </c>
      <c r="E46" s="227" t="n">
        <v>0</v>
      </c>
      <c r="F46" s="350" t="n">
        <v>0</v>
      </c>
      <c r="G46" s="356" t="n">
        <f aca="false">Retention!$F$44</f>
        <v>100</v>
      </c>
      <c r="H46" s="225" t="s">
        <v>1174</v>
      </c>
      <c r="I46" s="227" t="n">
        <f aca="false">IF(OR($D46=1,$E46=1),SUM(INDEX(Model!$K$13:$DE$56,$A46-12,0))+SUM(INDEX(Model!$K$60:$DE$103,$A46-12,0)),0)</f>
        <v>0</v>
      </c>
      <c r="J46" s="350" t="n">
        <v>0</v>
      </c>
      <c r="K46" s="227" t="n">
        <f aca="false">IF(OR($D46=1,$E46=1),J46+IF(AND($D46=1,$O$1=1),0,I46),0)</f>
        <v>0</v>
      </c>
      <c r="L46" s="351" t="n">
        <v>0</v>
      </c>
    </row>
    <row r="47" customFormat="false" ht="13.5" hidden="false" customHeight="true" outlineLevel="0" collapsed="false">
      <c r="A47" s="352" t="n">
        <v>56</v>
      </c>
      <c r="B47" s="353" t="s">
        <v>50</v>
      </c>
      <c r="C47" s="353" t="s">
        <v>1175</v>
      </c>
      <c r="D47" s="352" t="n">
        <v>0</v>
      </c>
      <c r="E47" s="352" t="n">
        <v>0</v>
      </c>
      <c r="F47" s="354" t="n">
        <v>0</v>
      </c>
      <c r="G47" s="352" t="n">
        <v>0</v>
      </c>
      <c r="I47" s="352" t="n">
        <f aca="false">IF(OR($D47=1,$E47=1),SUM(INDEX(Model!$K$13:$DE$56,$A47-12,0))+SUM(INDEX(Model!$K$60:$DE$103,$A47-12,0)),0)</f>
        <v>0</v>
      </c>
      <c r="J47" s="354" t="n">
        <v>0</v>
      </c>
      <c r="K47" s="352" t="n">
        <f aca="false">IF(OR($D47=1,$E47=1),J47+IF(AND($D47=1,$O$1=1),0,I47),0)</f>
        <v>0</v>
      </c>
      <c r="L47" s="355" t="n">
        <v>0</v>
      </c>
    </row>
    <row r="58" customFormat="false" ht="13.5" hidden="false" customHeight="true" outlineLevel="0" collapsed="false">
      <c r="A58" s="358" t="s">
        <v>1176</v>
      </c>
    </row>
    <row r="59" customFormat="false" ht="13.5" hidden="false" customHeight="true" outlineLevel="0" collapsed="false">
      <c r="A59" s="1" t="s">
        <v>1177</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58" t="s">
        <v>489</v>
      </c>
      <c r="B104" s="358" t="n">
        <f aca="false">SUM(B60:B103)</f>
        <v>0</v>
      </c>
      <c r="C104" s="358" t="n">
        <f aca="false">SUM(C60:C103)</f>
        <v>0</v>
      </c>
      <c r="D104" s="358" t="n">
        <f aca="false">SUM(D60:D103)</f>
        <v>0</v>
      </c>
      <c r="E104" s="358" t="n">
        <f aca="false">SUM(E60:E103)</f>
        <v>0</v>
      </c>
      <c r="F104" s="358" t="n">
        <f aca="false">SUM(F60:F103)</f>
        <v>0</v>
      </c>
      <c r="G104" s="358" t="n">
        <f aca="false">SUM(G60:G103)</f>
        <v>0</v>
      </c>
      <c r="H104" s="358" t="n">
        <f aca="false">SUM(H60:H103)</f>
        <v>0</v>
      </c>
      <c r="I104" s="358" t="n">
        <f aca="false">SUM(I60:I103)</f>
        <v>0</v>
      </c>
      <c r="J104" s="358" t="n">
        <f aca="false">SUM(J60:J103)</f>
        <v>0</v>
      </c>
      <c r="K104" s="358" t="n">
        <f aca="false">SUM(K60:K103)</f>
        <v>477.759999999835</v>
      </c>
      <c r="L104" s="358" t="n">
        <f aca="false">SUM(L60:L103)</f>
        <v>877.089999999618</v>
      </c>
      <c r="M104" s="358" t="n">
        <f aca="false">SUM(M60:M103)</f>
        <v>1257.46999999927</v>
      </c>
      <c r="N104" s="358" t="n">
        <f aca="false">SUM(N60:N103)</f>
        <v>1711.50999999978</v>
      </c>
      <c r="O104" s="358" t="n">
        <f aca="false">SUM(O60:O103)</f>
        <v>2154.5699999989</v>
      </c>
      <c r="P104" s="358" t="n">
        <f aca="false">SUM(P60:P103)</f>
        <v>2651.90999999922</v>
      </c>
      <c r="Q104" s="358" t="n">
        <f aca="false">SUM(Q60:Q103)</f>
        <v>3132.95999999903</v>
      </c>
      <c r="R104" s="358" t="n">
        <f aca="false">SUM(R60:R103)</f>
        <v>3657.06000000145</v>
      </c>
      <c r="S104" s="358" t="n">
        <f aca="false">SUM(S60:S103)</f>
        <v>4165.95000000019</v>
      </c>
      <c r="T104" s="358" t="n">
        <f aca="false">SUM(T60:T103)</f>
        <v>4813.35000000056</v>
      </c>
      <c r="U104" s="358" t="n">
        <f aca="false">SUM(U60:U103)</f>
        <v>5319.16000000015</v>
      </c>
      <c r="V104" s="358" t="n">
        <f aca="false">SUM(V60:V103)</f>
        <v>6229.06000000145</v>
      </c>
      <c r="W104" s="358" t="n">
        <f aca="false">SUM(W60:W103)</f>
        <v>6870.95000000298</v>
      </c>
      <c r="X104" s="358" t="n">
        <f aca="false">SUM(X60:X103)</f>
        <v>7910.41000000015</v>
      </c>
      <c r="Y104" s="358" t="n">
        <f aca="false">SUM(Y60:Y103)</f>
        <v>8560.58999999985</v>
      </c>
      <c r="Z104" s="358" t="n">
        <f aca="false">SUM(Z60:Z103)</f>
        <v>9455.80999999866</v>
      </c>
      <c r="AA104" s="358" t="n">
        <f aca="false">SUM(AA60:AA103)</f>
        <v>10169.8400000017</v>
      </c>
      <c r="AB104" s="358" t="n">
        <f aca="false">SUM(AB60:AB103)</f>
        <v>10612.8900000025</v>
      </c>
      <c r="AC104" s="358" t="n">
        <f aca="false">SUM(AC60:AC103)</f>
        <v>10886.9000000004</v>
      </c>
      <c r="AD104" s="358" t="n">
        <f aca="false">SUM(AD60:AD103)</f>
        <v>11211.3800000008</v>
      </c>
      <c r="AE104" s="358" t="n">
        <f aca="false">SUM(AE60:AE103)</f>
        <v>11515.9200000037</v>
      </c>
      <c r="AF104" s="358" t="n">
        <f aca="false">SUM(AF60:AF103)</f>
        <v>11892.5200000014</v>
      </c>
      <c r="AG104" s="358" t="n">
        <f aca="false">SUM(AG60:AG103)</f>
        <v>12546.5200000014</v>
      </c>
      <c r="AH104" s="358" t="n">
        <f aca="false">SUM(AH60:AH103)</f>
        <v>13153.4800000023</v>
      </c>
      <c r="AI104" s="358" t="n">
        <f aca="false">SUM(AI60:AI103)</f>
        <v>13746.8799999971</v>
      </c>
      <c r="AJ104" s="358" t="n">
        <f aca="false">SUM(AJ60:AJ103)</f>
        <v>14070.6300000008</v>
      </c>
      <c r="AK104" s="358" t="n">
        <f aca="false">SUM(AK60:AK103)</f>
        <v>14339.3800000008</v>
      </c>
      <c r="AL104" s="358" t="n">
        <f aca="false">SUM(AL60:AL103)</f>
        <v>14639.5999999996</v>
      </c>
      <c r="AM104" s="358" t="n">
        <f aca="false">SUM(AM60:AM103)</f>
        <v>14965.9500000011</v>
      </c>
      <c r="AN104" s="358" t="n">
        <f aca="false">SUM(AN60:AN103)</f>
        <v>15053.7600000035</v>
      </c>
      <c r="AO104" s="358" t="n">
        <f aca="false">SUM(AO60:AO103)</f>
        <v>15053.7600000035</v>
      </c>
      <c r="AP104" s="358" t="n">
        <f aca="false">SUM(AP60:AP103)</f>
        <v>15053.7600000035</v>
      </c>
      <c r="AQ104" s="358" t="n">
        <f aca="false">SUM(AQ60:AQ103)</f>
        <v>15053.7600000035</v>
      </c>
      <c r="AR104" s="358" t="n">
        <f aca="false">SUM(AR60:AR103)</f>
        <v>15053.7600000035</v>
      </c>
      <c r="AS104" s="358" t="n">
        <f aca="false">SUM(AS60:AS103)</f>
        <v>15053.7600000035</v>
      </c>
      <c r="AT104" s="358" t="n">
        <f aca="false">SUM(AT60:AT103)</f>
        <v>15053.7600000035</v>
      </c>
      <c r="AU104" s="358" t="n">
        <f aca="false">SUM(AU60:AU103)</f>
        <v>15053.7600000035</v>
      </c>
      <c r="AV104" s="358" t="n">
        <f aca="false">SUM(AV60:AV103)</f>
        <v>15053.7600000035</v>
      </c>
      <c r="AW104" s="358" t="n">
        <f aca="false">SUM(AW60:AW103)</f>
        <v>15053.7600000035</v>
      </c>
      <c r="AX104" s="358" t="n">
        <f aca="false">SUM(AX60:AX103)</f>
        <v>15053.7600000035</v>
      </c>
      <c r="AY104" s="358" t="n">
        <f aca="false">SUM(AY60:AY103)</f>
        <v>15053.7600000035</v>
      </c>
      <c r="AZ104" s="358" t="n">
        <f aca="false">SUM(AZ60:AZ103)</f>
        <v>15053.7600000035</v>
      </c>
      <c r="BA104" s="358" t="n">
        <f aca="false">SUM(BA60:BA103)</f>
        <v>15053.7600000035</v>
      </c>
      <c r="BB104" s="358" t="n">
        <f aca="false">SUM(BB60:BB103)</f>
        <v>15053.7600000035</v>
      </c>
      <c r="BC104" s="358" t="n">
        <f aca="false">SUM(BC60:BC103)</f>
        <v>15053.7600000035</v>
      </c>
      <c r="BD104" s="358" t="n">
        <f aca="false">SUM(BD60:BD103)</f>
        <v>15053.7600000035</v>
      </c>
      <c r="BE104" s="358" t="n">
        <f aca="false">SUM(BE60:BE103)</f>
        <v>15053.7600000035</v>
      </c>
      <c r="BF104" s="358" t="n">
        <f aca="false">SUM(BF60:BF103)</f>
        <v>15053.7600000035</v>
      </c>
      <c r="BG104" s="358" t="n">
        <f aca="false">SUM(BG60:BG103)</f>
        <v>15053.7600000035</v>
      </c>
      <c r="BH104" s="358" t="n">
        <f aca="false">SUM(BH60:BH103)</f>
        <v>15053.7600000035</v>
      </c>
      <c r="BI104" s="358" t="n">
        <f aca="false">SUM(BI60:BI103)</f>
        <v>15053.7600000035</v>
      </c>
      <c r="BJ104" s="358" t="n">
        <f aca="false">SUM(BJ60:BJ103)</f>
        <v>15053.7600000035</v>
      </c>
      <c r="BK104" s="358" t="n">
        <f aca="false">SUM(BK60:BK103)</f>
        <v>15053.7600000035</v>
      </c>
      <c r="BL104" s="358" t="n">
        <f aca="false">SUM(BL60:BL103)</f>
        <v>15053.7600000035</v>
      </c>
      <c r="BM104" s="358" t="n">
        <f aca="false">SUM(BM60:BM103)</f>
        <v>15053.7600000035</v>
      </c>
      <c r="BN104" s="358" t="n">
        <f aca="false">SUM(BN60:BN103)</f>
        <v>15053.7600000035</v>
      </c>
      <c r="BO104" s="358" t="n">
        <f aca="false">SUM(BO60:BO103)</f>
        <v>15053.7600000035</v>
      </c>
      <c r="BP104" s="358" t="n">
        <f aca="false">SUM(BP60:BP103)</f>
        <v>15053.7600000035</v>
      </c>
      <c r="BQ104" s="358" t="n">
        <f aca="false">SUM(BQ60:BQ103)</f>
        <v>15053.7600000035</v>
      </c>
      <c r="BR104" s="358" t="n">
        <f aca="false">SUM(BR60:BR103)</f>
        <v>15053.7600000035</v>
      </c>
      <c r="BS104" s="358" t="n">
        <f aca="false">SUM(BS60:BS103)</f>
        <v>15053.7600000035</v>
      </c>
      <c r="BT104" s="358" t="n">
        <f aca="false">SUM(BT60:BT103)</f>
        <v>15053.7600000035</v>
      </c>
      <c r="BU104" s="358" t="n">
        <f aca="false">SUM(BU60:BU103)</f>
        <v>15053.7600000035</v>
      </c>
      <c r="BV104" s="358" t="n">
        <f aca="false">SUM(BV60:BV103)</f>
        <v>15053.7600000035</v>
      </c>
      <c r="BW104" s="358" t="n">
        <f aca="false">SUM(BW60:BW103)</f>
        <v>15053.7600000035</v>
      </c>
      <c r="BX104" s="358" t="n">
        <f aca="false">SUM(BX60:BX103)</f>
        <v>15053.7600000035</v>
      </c>
      <c r="BY104" s="358" t="n">
        <f aca="false">SUM(BY60:BY103)</f>
        <v>15053.7600000035</v>
      </c>
      <c r="BZ104" s="358" t="n">
        <f aca="false">SUM(BZ60:BZ103)</f>
        <v>15053.7600000035</v>
      </c>
      <c r="CA104" s="358" t="n">
        <f aca="false">SUM(CA60:CA103)</f>
        <v>15053.7600000035</v>
      </c>
      <c r="CB104" s="358" t="n">
        <f aca="false">SUM(CB60:CB103)</f>
        <v>15053.7600000035</v>
      </c>
      <c r="CC104" s="358" t="n">
        <f aca="false">SUM(CC60:CC103)</f>
        <v>15053.7600000035</v>
      </c>
      <c r="CD104" s="358" t="n">
        <f aca="false">SUM(CD60:CD103)</f>
        <v>15053.7600000035</v>
      </c>
      <c r="CE104" s="358" t="n">
        <f aca="false">SUM(CE60:CE103)</f>
        <v>15053.7600000035</v>
      </c>
      <c r="CF104" s="358" t="n">
        <f aca="false">SUM(CF60:CF103)</f>
        <v>15053.7600000035</v>
      </c>
      <c r="CG104" s="358" t="n">
        <f aca="false">SUM(CG60:CG103)</f>
        <v>15053.7600000035</v>
      </c>
      <c r="CH104" s="358" t="n">
        <f aca="false">SUM(CH60:CH103)</f>
        <v>15053.7600000035</v>
      </c>
      <c r="CI104" s="358" t="n">
        <f aca="false">SUM(CI60:CI103)</f>
        <v>15053.7600000035</v>
      </c>
      <c r="CJ104" s="358" t="n">
        <f aca="false">SUM(CJ60:CJ103)</f>
        <v>15053.7600000035</v>
      </c>
      <c r="CK104" s="358" t="n">
        <f aca="false">SUM(CK60:CK103)</f>
        <v>15053.7600000035</v>
      </c>
      <c r="CL104" s="358" t="n">
        <f aca="false">SUM(CL60:CL103)</f>
        <v>15053.7600000035</v>
      </c>
      <c r="CM104" s="358" t="n">
        <f aca="false">SUM(CM60:CM103)</f>
        <v>15053.7600000035</v>
      </c>
      <c r="CN104" s="358" t="n">
        <f aca="false">SUM(CN60:CN103)</f>
        <v>15053.7600000035</v>
      </c>
      <c r="CO104" s="358" t="n">
        <f aca="false">SUM(CO60:CO103)</f>
        <v>15053.7600000035</v>
      </c>
      <c r="CP104" s="358" t="n">
        <f aca="false">SUM(CP60:CP103)</f>
        <v>15053.7600000035</v>
      </c>
      <c r="CQ104" s="358" t="n">
        <f aca="false">SUM(CQ60:CQ103)</f>
        <v>15053.7600000035</v>
      </c>
      <c r="CR104" s="358" t="n">
        <f aca="false">SUM(CR60:CR103)</f>
        <v>15053.7600000035</v>
      </c>
      <c r="CS104" s="358" t="n">
        <f aca="false">SUM(CS60:CS103)</f>
        <v>15053.7600000035</v>
      </c>
      <c r="CT104" s="358" t="n">
        <f aca="false">SUM(CT60:CT103)</f>
        <v>15053.7600000035</v>
      </c>
      <c r="CU104" s="358" t="n">
        <f aca="false">SUM(CU60:CU103)</f>
        <v>15053.7600000035</v>
      </c>
      <c r="CV104" s="358" t="n">
        <f aca="false">SUM(CV60:CV103)</f>
        <v>15053.7600000035</v>
      </c>
      <c r="CW104" s="358" t="n">
        <f aca="false">SUM(CW60:CW103)</f>
        <v>15053.7600000035</v>
      </c>
      <c r="CX104" s="358" t="n">
        <f aca="false">SUM(CX60:CX103)</f>
        <v>15053.7600000035</v>
      </c>
      <c r="CY104" s="358" t="n">
        <f aca="false">SUM(CY60:CY103)</f>
        <v>15053.7600000035</v>
      </c>
      <c r="CZ104" s="358" t="n">
        <f aca="false">SUM(CZ60:CZ103)</f>
        <v>15053.7600000035</v>
      </c>
      <c r="DA104" s="358" t="n">
        <f aca="false">SUM(DA60:DA103)</f>
        <v>15053.7600000035</v>
      </c>
      <c r="DB104" s="358" t="n">
        <f aca="false">SUM(DB60:DB103)</f>
        <v>15053.7600000035</v>
      </c>
      <c r="DC104" s="358" t="n">
        <f aca="false">SUM(DC60:DC103)</f>
        <v>15053.7600000035</v>
      </c>
      <c r="DD104" s="358" t="n">
        <f aca="false">SUM(DD60:DD103)</f>
        <v>15053.7600000035</v>
      </c>
      <c r="DE104" s="358"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13281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16" t="s">
        <v>1178</v>
      </c>
    </row>
    <row r="2" customFormat="false" ht="13.5" hidden="false" customHeight="true" outlineLevel="0" collapsed="false">
      <c r="A2" s="217" t="s">
        <v>1179</v>
      </c>
    </row>
    <row r="4" customFormat="false" ht="13.5" hidden="false" customHeight="true" outlineLevel="0" collapsed="false">
      <c r="A4" s="221" t="s">
        <v>1180</v>
      </c>
      <c r="B4" s="222"/>
      <c r="C4" s="222"/>
      <c r="D4" s="222"/>
      <c r="E4" s="222"/>
      <c r="F4" s="222"/>
    </row>
    <row r="5" customFormat="false" ht="13.5" hidden="false" customHeight="true" outlineLevel="0" collapsed="false">
      <c r="A5" s="109" t="s">
        <v>1181</v>
      </c>
      <c r="B5" s="359" t="n">
        <v>0.875</v>
      </c>
    </row>
    <row r="6" customFormat="false" ht="13.5" hidden="false" customHeight="true" outlineLevel="0" collapsed="false">
      <c r="A6" s="109" t="s">
        <v>1182</v>
      </c>
      <c r="B6" s="359" t="n">
        <v>0.5</v>
      </c>
    </row>
    <row r="7" customFormat="false" ht="13.5" hidden="false" customHeight="true" outlineLevel="0" collapsed="false">
      <c r="A7" s="109" t="s">
        <v>1183</v>
      </c>
      <c r="B7" s="359" t="n">
        <v>0.25</v>
      </c>
    </row>
    <row r="8" customFormat="false" ht="13.5" hidden="false" customHeight="true" outlineLevel="0" collapsed="false">
      <c r="A8" s="109" t="s">
        <v>1184</v>
      </c>
      <c r="B8" s="359" t="n">
        <v>0.165</v>
      </c>
    </row>
    <row r="9" customFormat="false" ht="13.5" hidden="false" customHeight="true" outlineLevel="0" collapsed="false">
      <c r="A9" s="109" t="s">
        <v>1185</v>
      </c>
      <c r="B9" s="359" t="n">
        <v>0.5</v>
      </c>
    </row>
    <row r="10" customFormat="false" ht="13.5" hidden="false" customHeight="true" outlineLevel="0" collapsed="false">
      <c r="A10" s="109" t="s">
        <v>1186</v>
      </c>
      <c r="B10" s="359" t="n">
        <v>0.2</v>
      </c>
    </row>
    <row r="11" customFormat="false" ht="13.5" hidden="false" customHeight="true" outlineLevel="0" collapsed="false">
      <c r="A11" s="109" t="s">
        <v>1187</v>
      </c>
      <c r="B11" s="359" t="n">
        <v>0.5</v>
      </c>
    </row>
    <row r="12" customFormat="false" ht="13.5" hidden="false" customHeight="true" outlineLevel="0" collapsed="false">
      <c r="A12" s="109" t="s">
        <v>1188</v>
      </c>
      <c r="B12" s="360" t="n">
        <v>25000000</v>
      </c>
    </row>
    <row r="13" customFormat="false" ht="13.5" hidden="false" customHeight="true" outlineLevel="0" collapsed="false">
      <c r="A13" s="109" t="s">
        <v>1189</v>
      </c>
      <c r="B13" s="360" t="n">
        <v>10000000</v>
      </c>
    </row>
    <row r="14" customFormat="false" ht="13.5" hidden="false" customHeight="true" outlineLevel="0" collapsed="false">
      <c r="A14" s="109" t="s">
        <v>1190</v>
      </c>
      <c r="B14" s="359" t="n">
        <v>0</v>
      </c>
      <c r="C14" s="220" t="s">
        <v>1191</v>
      </c>
    </row>
    <row r="15" customFormat="false" ht="13.5" hidden="false" customHeight="true" outlineLevel="0" collapsed="false">
      <c r="A15" s="109" t="s">
        <v>1192</v>
      </c>
      <c r="B15" s="359" t="n">
        <v>0</v>
      </c>
    </row>
    <row r="16" customFormat="false" ht="13.5" hidden="false" customHeight="true" outlineLevel="0" collapsed="false">
      <c r="A16" s="109" t="s">
        <v>1193</v>
      </c>
      <c r="B16" s="359" t="n">
        <v>0</v>
      </c>
    </row>
    <row r="17" customFormat="false" ht="13.5" hidden="false" customHeight="true" outlineLevel="0" collapsed="false">
      <c r="A17" s="109" t="s">
        <v>1194</v>
      </c>
      <c r="B17" s="359" t="n">
        <v>1</v>
      </c>
    </row>
    <row r="18" customFormat="false" ht="13.5" hidden="false" customHeight="true" outlineLevel="0" collapsed="false">
      <c r="A18" s="109" t="s">
        <v>1195</v>
      </c>
      <c r="B18" s="359" t="n">
        <v>0.75</v>
      </c>
    </row>
    <row r="19" customFormat="false" ht="13.5" hidden="false" customHeight="true" outlineLevel="0" collapsed="false">
      <c r="A19" s="109" t="s">
        <v>1196</v>
      </c>
      <c r="B19" s="359" t="n">
        <v>6</v>
      </c>
      <c r="C19" s="220" t="s">
        <v>1197</v>
      </c>
    </row>
    <row r="20" customFormat="false" ht="13.5" hidden="false" customHeight="true" outlineLevel="0" collapsed="false">
      <c r="A20" s="109" t="s">
        <v>1198</v>
      </c>
      <c r="B20" s="359" t="n">
        <v>4</v>
      </c>
    </row>
    <row r="21" customFormat="false" ht="13.5" hidden="false" customHeight="true" outlineLevel="0" collapsed="false">
      <c r="A21" s="109" t="s">
        <v>1199</v>
      </c>
      <c r="B21" s="361" t="n">
        <v>0.075</v>
      </c>
    </row>
    <row r="22" customFormat="false" ht="13.5" hidden="false" customHeight="true" outlineLevel="0" collapsed="false">
      <c r="A22" s="109" t="s">
        <v>1200</v>
      </c>
      <c r="B22" s="359" t="n">
        <v>99</v>
      </c>
    </row>
    <row r="23" customFormat="false" ht="13.5" hidden="false" customHeight="true" outlineLevel="0" collapsed="false">
      <c r="A23" s="109" t="s">
        <v>1201</v>
      </c>
      <c r="B23" s="359" t="n">
        <v>99</v>
      </c>
    </row>
    <row r="25" customFormat="false" ht="13.5" hidden="false" customHeight="true" outlineLevel="0" collapsed="false">
      <c r="A25" s="221" t="s">
        <v>1202</v>
      </c>
      <c r="B25" s="222"/>
      <c r="C25" s="222"/>
      <c r="D25" s="222"/>
      <c r="E25" s="222"/>
      <c r="F25" s="222"/>
    </row>
    <row r="26" customFormat="false" ht="13.5" hidden="false" customHeight="true" outlineLevel="0" collapsed="false">
      <c r="A26" s="109" t="s">
        <v>746</v>
      </c>
      <c r="B26" s="360" t="n">
        <v>160000</v>
      </c>
    </row>
    <row r="27" customFormat="false" ht="13.5" hidden="false" customHeight="true" outlineLevel="0" collapsed="false">
      <c r="A27" s="109" t="s">
        <v>1203</v>
      </c>
      <c r="B27" s="360" t="n">
        <v>125000</v>
      </c>
    </row>
    <row r="28" customFormat="false" ht="13.5" hidden="false" customHeight="true" outlineLevel="0" collapsed="false">
      <c r="A28" s="109" t="s">
        <v>742</v>
      </c>
      <c r="B28" s="360" t="n">
        <v>130000</v>
      </c>
    </row>
    <row r="29" customFormat="false" ht="13.5" hidden="false" customHeight="true" outlineLevel="0" collapsed="false">
      <c r="A29" s="109" t="s">
        <v>688</v>
      </c>
      <c r="B29" s="360" t="n">
        <v>180000</v>
      </c>
    </row>
    <row r="30" customFormat="false" ht="13.5" hidden="false" customHeight="true" outlineLevel="0" collapsed="false">
      <c r="A30" s="109" t="s">
        <v>1204</v>
      </c>
      <c r="B30" s="360" t="n">
        <v>80000</v>
      </c>
    </row>
    <row r="32" customFormat="false" ht="13.5" hidden="false" customHeight="true" outlineLevel="0" collapsed="false">
      <c r="A32" s="221" t="s">
        <v>1205</v>
      </c>
      <c r="B32" s="222"/>
      <c r="C32" s="222"/>
      <c r="D32" s="222"/>
      <c r="E32" s="222"/>
      <c r="F32" s="222"/>
    </row>
    <row r="33" customFormat="false" ht="13.5" hidden="false" customHeight="true" outlineLevel="0" collapsed="false">
      <c r="E33" s="362" t="n">
        <f aca="false">Model!E2</f>
        <v>46113</v>
      </c>
      <c r="F33" s="362" t="n">
        <f aca="false">Model!F2</f>
        <v>46143</v>
      </c>
      <c r="G33" s="362" t="n">
        <f aca="false">Model!G2</f>
        <v>46174</v>
      </c>
      <c r="H33" s="362" t="n">
        <f aca="false">Model!H2</f>
        <v>46204</v>
      </c>
      <c r="I33" s="362" t="n">
        <f aca="false">Model!I2</f>
        <v>46235</v>
      </c>
      <c r="J33" s="362" t="n">
        <f aca="false">Model!J2</f>
        <v>46266</v>
      </c>
      <c r="K33" s="362" t="n">
        <f aca="false">Model!K2</f>
        <v>46296</v>
      </c>
      <c r="L33" s="362" t="n">
        <f aca="false">Model!L2</f>
        <v>46327</v>
      </c>
      <c r="M33" s="362" t="n">
        <f aca="false">Model!M2</f>
        <v>46357</v>
      </c>
      <c r="N33" s="362" t="n">
        <f aca="false">Model!N2</f>
        <v>46388</v>
      </c>
      <c r="O33" s="362" t="n">
        <f aca="false">Model!O2</f>
        <v>46419</v>
      </c>
      <c r="P33" s="362" t="n">
        <f aca="false">Model!P2</f>
        <v>46447</v>
      </c>
      <c r="Q33" s="362" t="n">
        <f aca="false">Model!Q2</f>
        <v>46478</v>
      </c>
      <c r="R33" s="362" t="n">
        <f aca="false">Model!R2</f>
        <v>46508</v>
      </c>
      <c r="S33" s="362" t="n">
        <f aca="false">Model!S2</f>
        <v>46539</v>
      </c>
      <c r="T33" s="362" t="n">
        <f aca="false">Model!T2</f>
        <v>46569</v>
      </c>
      <c r="U33" s="362" t="n">
        <f aca="false">Model!U2</f>
        <v>46600</v>
      </c>
      <c r="V33" s="362" t="n">
        <f aca="false">Model!V2</f>
        <v>46631</v>
      </c>
      <c r="W33" s="362" t="n">
        <f aca="false">Model!W2</f>
        <v>46661</v>
      </c>
      <c r="X33" s="362" t="n">
        <f aca="false">Model!X2</f>
        <v>46692</v>
      </c>
      <c r="Y33" s="362" t="n">
        <f aca="false">Model!Y2</f>
        <v>46722</v>
      </c>
      <c r="Z33" s="362" t="n">
        <f aca="false">Model!Z2</f>
        <v>46753</v>
      </c>
      <c r="AA33" s="362" t="n">
        <f aca="false">Model!AA2</f>
        <v>46784</v>
      </c>
      <c r="AB33" s="362" t="n">
        <f aca="false">Model!AB2</f>
        <v>46813</v>
      </c>
      <c r="AC33" s="362" t="n">
        <f aca="false">Model!AC2</f>
        <v>46844</v>
      </c>
      <c r="AD33" s="362" t="n">
        <f aca="false">Model!AD2</f>
        <v>46874</v>
      </c>
      <c r="AE33" s="362" t="n">
        <f aca="false">Model!AE2</f>
        <v>46905</v>
      </c>
      <c r="AF33" s="362" t="n">
        <f aca="false">Model!AF2</f>
        <v>46935</v>
      </c>
      <c r="AG33" s="362" t="n">
        <f aca="false">Model!AG2</f>
        <v>46966</v>
      </c>
      <c r="AH33" s="362" t="n">
        <f aca="false">Model!AH2</f>
        <v>46997</v>
      </c>
      <c r="AI33" s="362" t="n">
        <f aca="false">Model!AI2</f>
        <v>47027</v>
      </c>
      <c r="AJ33" s="362" t="n">
        <f aca="false">Model!AJ2</f>
        <v>47058</v>
      </c>
      <c r="AK33" s="362" t="n">
        <f aca="false">Model!AK2</f>
        <v>47088</v>
      </c>
      <c r="AL33" s="362" t="n">
        <f aca="false">Model!AL2</f>
        <v>47119</v>
      </c>
      <c r="AM33" s="362" t="n">
        <f aca="false">Model!AM2</f>
        <v>47150</v>
      </c>
      <c r="AN33" s="362" t="n">
        <f aca="false">Model!AN2</f>
        <v>47178</v>
      </c>
      <c r="AO33" s="362" t="n">
        <f aca="false">Model!AO2</f>
        <v>47209</v>
      </c>
      <c r="AP33" s="362" t="n">
        <f aca="false">Model!AP2</f>
        <v>47239</v>
      </c>
      <c r="AQ33" s="362" t="n">
        <f aca="false">Model!AQ2</f>
        <v>47270</v>
      </c>
      <c r="AR33" s="362" t="n">
        <f aca="false">Model!AR2</f>
        <v>47300</v>
      </c>
      <c r="AS33" s="362" t="n">
        <f aca="false">Model!AS2</f>
        <v>47331</v>
      </c>
      <c r="AT33" s="362" t="n">
        <f aca="false">Model!AT2</f>
        <v>47362</v>
      </c>
      <c r="AU33" s="362" t="n">
        <f aca="false">Model!AU2</f>
        <v>47392</v>
      </c>
      <c r="AV33" s="362" t="n">
        <f aca="false">Model!AV2</f>
        <v>47423</v>
      </c>
      <c r="AW33" s="362" t="n">
        <f aca="false">Model!AW2</f>
        <v>47453</v>
      </c>
      <c r="AX33" s="362" t="n">
        <f aca="false">Model!AX2</f>
        <v>47484</v>
      </c>
      <c r="AY33" s="362" t="n">
        <f aca="false">Model!AY2</f>
        <v>47515</v>
      </c>
      <c r="AZ33" s="362" t="n">
        <f aca="false">Model!AZ2</f>
        <v>47543</v>
      </c>
      <c r="BA33" s="362" t="n">
        <f aca="false">Model!BA2</f>
        <v>47574</v>
      </c>
      <c r="BB33" s="362" t="n">
        <f aca="false">Model!BB2</f>
        <v>47604</v>
      </c>
      <c r="BC33" s="362" t="n">
        <f aca="false">Model!BC2</f>
        <v>47635</v>
      </c>
      <c r="BD33" s="362" t="n">
        <f aca="false">Model!BD2</f>
        <v>47665</v>
      </c>
      <c r="BE33" s="362" t="n">
        <f aca="false">Model!BE2</f>
        <v>47696</v>
      </c>
      <c r="BF33" s="362" t="n">
        <f aca="false">Model!BF2</f>
        <v>47727</v>
      </c>
      <c r="BG33" s="362" t="n">
        <f aca="false">Model!BG2</f>
        <v>47757</v>
      </c>
      <c r="BH33" s="362" t="n">
        <f aca="false">Model!BH2</f>
        <v>47788</v>
      </c>
      <c r="BI33" s="362" t="n">
        <f aca="false">Model!BI2</f>
        <v>47818</v>
      </c>
      <c r="BJ33" s="362" t="n">
        <f aca="false">Model!BJ2</f>
        <v>47849</v>
      </c>
      <c r="BK33" s="362" t="n">
        <f aca="false">Model!BK2</f>
        <v>47880</v>
      </c>
      <c r="BL33" s="362" t="n">
        <f aca="false">Model!BL2</f>
        <v>47908</v>
      </c>
      <c r="BM33" s="362" t="n">
        <f aca="false">Model!BM2</f>
        <v>47939</v>
      </c>
      <c r="BN33" s="362" t="n">
        <f aca="false">Model!BN2</f>
        <v>47969</v>
      </c>
      <c r="BO33" s="362" t="n">
        <f aca="false">Model!BO2</f>
        <v>48000</v>
      </c>
      <c r="BP33" s="362" t="n">
        <f aca="false">Model!BP2</f>
        <v>48030</v>
      </c>
      <c r="BQ33" s="362" t="n">
        <f aca="false">Model!BQ2</f>
        <v>48061</v>
      </c>
      <c r="BR33" s="362" t="n">
        <f aca="false">Model!BR2</f>
        <v>48092</v>
      </c>
      <c r="BS33" s="362" t="n">
        <f aca="false">Model!BS2</f>
        <v>48122</v>
      </c>
      <c r="BT33" s="362" t="n">
        <f aca="false">Model!BT2</f>
        <v>48153</v>
      </c>
      <c r="BU33" s="362" t="n">
        <f aca="false">Model!BU2</f>
        <v>48183</v>
      </c>
      <c r="BV33" s="362" t="n">
        <f aca="false">Model!BV2</f>
        <v>48214</v>
      </c>
      <c r="BW33" s="362" t="n">
        <f aca="false">Model!BW2</f>
        <v>48245</v>
      </c>
      <c r="BX33" s="362" t="n">
        <f aca="false">Model!BX2</f>
        <v>48274</v>
      </c>
      <c r="BY33" s="362" t="n">
        <f aca="false">Model!BY2</f>
        <v>48305</v>
      </c>
      <c r="BZ33" s="362" t="n">
        <f aca="false">Model!BZ2</f>
        <v>48335</v>
      </c>
      <c r="CA33" s="362" t="n">
        <f aca="false">Model!CA2</f>
        <v>48366</v>
      </c>
      <c r="CB33" s="362" t="n">
        <f aca="false">Model!CB2</f>
        <v>48396</v>
      </c>
      <c r="CC33" s="362" t="n">
        <f aca="false">Model!CC2</f>
        <v>48427</v>
      </c>
      <c r="CD33" s="362" t="n">
        <f aca="false">Model!CD2</f>
        <v>48458</v>
      </c>
      <c r="CE33" s="362" t="n">
        <f aca="false">Model!CE2</f>
        <v>48488</v>
      </c>
      <c r="CF33" s="362" t="n">
        <f aca="false">Model!CF2</f>
        <v>48519</v>
      </c>
      <c r="CG33" s="362" t="n">
        <f aca="false">Model!CG2</f>
        <v>48549</v>
      </c>
      <c r="CH33" s="362" t="n">
        <f aca="false">Model!CH2</f>
        <v>48580</v>
      </c>
      <c r="CI33" s="362" t="n">
        <f aca="false">Model!CI2</f>
        <v>48611</v>
      </c>
      <c r="CJ33" s="362" t="n">
        <f aca="false">Model!CJ2</f>
        <v>48639</v>
      </c>
      <c r="CK33" s="362" t="n">
        <f aca="false">Model!CK2</f>
        <v>48670</v>
      </c>
      <c r="CL33" s="362" t="n">
        <f aca="false">Model!CL2</f>
        <v>48700</v>
      </c>
      <c r="CM33" s="362" t="n">
        <f aca="false">Model!CM2</f>
        <v>48731</v>
      </c>
      <c r="CN33" s="362" t="n">
        <f aca="false">Model!CN2</f>
        <v>48761</v>
      </c>
      <c r="CO33" s="362" t="n">
        <f aca="false">Model!CO2</f>
        <v>48792</v>
      </c>
      <c r="CP33" s="362" t="n">
        <f aca="false">Model!CP2</f>
        <v>48823</v>
      </c>
      <c r="CQ33" s="362" t="n">
        <f aca="false">Model!CQ2</f>
        <v>48853</v>
      </c>
      <c r="CR33" s="362" t="n">
        <f aca="false">Model!CR2</f>
        <v>48884</v>
      </c>
      <c r="CS33" s="362" t="n">
        <f aca="false">Model!CS2</f>
        <v>48914</v>
      </c>
      <c r="CT33" s="362" t="n">
        <f aca="false">Model!CT2</f>
        <v>48945</v>
      </c>
      <c r="CU33" s="362" t="n">
        <f aca="false">Model!CU2</f>
        <v>48976</v>
      </c>
      <c r="CV33" s="362" t="n">
        <f aca="false">Model!CV2</f>
        <v>49004</v>
      </c>
      <c r="CW33" s="362" t="n">
        <f aca="false">Model!CW2</f>
        <v>49035</v>
      </c>
      <c r="CX33" s="362" t="n">
        <f aca="false">Model!CX2</f>
        <v>49065</v>
      </c>
      <c r="CY33" s="362" t="n">
        <f aca="false">Model!CY2</f>
        <v>49096</v>
      </c>
      <c r="CZ33" s="362" t="n">
        <f aca="false">Model!CZ2</f>
        <v>49126</v>
      </c>
      <c r="DA33" s="362" t="n">
        <f aca="false">Model!DA2</f>
        <v>49157</v>
      </c>
      <c r="DB33" s="362" t="n">
        <f aca="false">Model!DB2</f>
        <v>49188</v>
      </c>
      <c r="DC33" s="362" t="n">
        <f aca="false">Model!DC2</f>
        <v>49218</v>
      </c>
      <c r="DD33" s="362" t="n">
        <f aca="false">Model!DD2</f>
        <v>49249</v>
      </c>
      <c r="DE33" s="362"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21" t="s">
        <v>1206</v>
      </c>
      <c r="B36" s="222"/>
      <c r="C36" s="222"/>
      <c r="D36" s="222"/>
      <c r="E36" s="222"/>
      <c r="F36" s="222"/>
    </row>
    <row r="37" customFormat="false" ht="13.5" hidden="false" customHeight="true" outlineLevel="0" collapsed="false">
      <c r="A37" s="109" t="s">
        <v>1207</v>
      </c>
      <c r="E37" s="363" t="n">
        <f aca="false">SUMPRODUCT((Projects!$G$2:$G$45="Yes")*(1&gt;=Projects!$C$2:$C$45)*(1&lt;=Projects!$W$2:$W$45))</f>
        <v>5</v>
      </c>
      <c r="F37" s="363" t="n">
        <f aca="false">SUMPRODUCT((Projects!$G$2:$G$45="Yes")*(2&gt;=Projects!$C$2:$C$45)*(2&lt;=Projects!$W$2:$W$45))</f>
        <v>5</v>
      </c>
      <c r="G37" s="363" t="n">
        <f aca="false">SUMPRODUCT((Projects!$G$2:$G$45="Yes")*(3&gt;=Projects!$C$2:$C$45)*(3&lt;=Projects!$W$2:$W$45))</f>
        <v>5</v>
      </c>
      <c r="H37" s="363" t="n">
        <f aca="false">SUMPRODUCT((Projects!$G$2:$G$45="Yes")*(4&gt;=Projects!$C$2:$C$45)*(4&lt;=Projects!$W$2:$W$45))</f>
        <v>5</v>
      </c>
      <c r="I37" s="363" t="n">
        <f aca="false">SUMPRODUCT((Projects!$G$2:$G$45="Yes")*(5&gt;=Projects!$C$2:$C$45)*(5&lt;=Projects!$W$2:$W$45))</f>
        <v>7</v>
      </c>
      <c r="J37" s="363" t="n">
        <f aca="false">SUMPRODUCT((Projects!$G$2:$G$45="Yes")*(6&gt;=Projects!$C$2:$C$45)*(6&lt;=Projects!$W$2:$W$45))</f>
        <v>8</v>
      </c>
      <c r="K37" s="363" t="n">
        <f aca="false">SUMPRODUCT((Projects!$G$2:$G$45="Yes")*(7&gt;=Projects!$C$2:$C$45)*(7&lt;=Projects!$W$2:$W$45))</f>
        <v>8</v>
      </c>
      <c r="L37" s="363" t="n">
        <f aca="false">SUMPRODUCT((Projects!$G$2:$G$45="Yes")*(8&gt;=Projects!$C$2:$C$45)*(8&lt;=Projects!$W$2:$W$45))</f>
        <v>8</v>
      </c>
      <c r="M37" s="363" t="n">
        <f aca="false">SUMPRODUCT((Projects!$G$2:$G$45="Yes")*(9&gt;=Projects!$C$2:$C$45)*(9&lt;=Projects!$W$2:$W$45))</f>
        <v>8</v>
      </c>
      <c r="N37" s="363" t="n">
        <f aca="false">SUMPRODUCT((Projects!$G$2:$G$45="Yes")*(10&gt;=Projects!$C$2:$C$45)*(10&lt;=Projects!$W$2:$W$45))</f>
        <v>9</v>
      </c>
      <c r="O37" s="363" t="n">
        <f aca="false">SUMPRODUCT((Projects!$G$2:$G$45="Yes")*(11&gt;=Projects!$C$2:$C$45)*(11&lt;=Projects!$W$2:$W$45))</f>
        <v>10</v>
      </c>
      <c r="P37" s="363" t="n">
        <f aca="false">SUMPRODUCT((Projects!$G$2:$G$45="Yes")*(12&gt;=Projects!$C$2:$C$45)*(12&lt;=Projects!$W$2:$W$45))</f>
        <v>10</v>
      </c>
      <c r="Q37" s="363" t="n">
        <f aca="false">SUMPRODUCT((Projects!$G$2:$G$45="Yes")*(13&gt;=Projects!$C$2:$C$45)*(13&lt;=Projects!$W$2:$W$45))</f>
        <v>10</v>
      </c>
      <c r="R37" s="363" t="n">
        <f aca="false">SUMPRODUCT((Projects!$G$2:$G$45="Yes")*(14&gt;=Projects!$C$2:$C$45)*(14&lt;=Projects!$W$2:$W$45))</f>
        <v>10</v>
      </c>
      <c r="S37" s="363" t="n">
        <f aca="false">SUMPRODUCT((Projects!$G$2:$G$45="Yes")*(15&gt;=Projects!$C$2:$C$45)*(15&lt;=Projects!$W$2:$W$45))</f>
        <v>12</v>
      </c>
      <c r="T37" s="363" t="n">
        <f aca="false">SUMPRODUCT((Projects!$G$2:$G$45="Yes")*(16&gt;=Projects!$C$2:$C$45)*(16&lt;=Projects!$W$2:$W$45))</f>
        <v>11</v>
      </c>
      <c r="U37" s="363" t="n">
        <f aca="false">SUMPRODUCT((Projects!$G$2:$G$45="Yes")*(17&gt;=Projects!$C$2:$C$45)*(17&lt;=Projects!$W$2:$W$45))</f>
        <v>11</v>
      </c>
      <c r="V37" s="363" t="n">
        <f aca="false">SUMPRODUCT((Projects!$G$2:$G$45="Yes")*(18&gt;=Projects!$C$2:$C$45)*(18&lt;=Projects!$W$2:$W$45))</f>
        <v>10</v>
      </c>
      <c r="W37" s="363" t="n">
        <f aca="false">SUMPRODUCT((Projects!$G$2:$G$45="Yes")*(19&gt;=Projects!$C$2:$C$45)*(19&lt;=Projects!$W$2:$W$45))</f>
        <v>9</v>
      </c>
      <c r="X37" s="363" t="n">
        <f aca="false">SUMPRODUCT((Projects!$G$2:$G$45="Yes")*(20&gt;=Projects!$C$2:$C$45)*(20&lt;=Projects!$W$2:$W$45))</f>
        <v>8</v>
      </c>
      <c r="Y37" s="363" t="n">
        <f aca="false">SUMPRODUCT((Projects!$G$2:$G$45="Yes")*(21&gt;=Projects!$C$2:$C$45)*(21&lt;=Projects!$W$2:$W$45))</f>
        <v>8</v>
      </c>
      <c r="Z37" s="363" t="n">
        <f aca="false">SUMPRODUCT((Projects!$G$2:$G$45="Yes")*(22&gt;=Projects!$C$2:$C$45)*(22&lt;=Projects!$W$2:$W$45))</f>
        <v>8</v>
      </c>
      <c r="AA37" s="363" t="n">
        <f aca="false">SUMPRODUCT((Projects!$G$2:$G$45="Yes")*(23&gt;=Projects!$C$2:$C$45)*(23&lt;=Projects!$W$2:$W$45))</f>
        <v>8</v>
      </c>
      <c r="AB37" s="363" t="n">
        <f aca="false">SUMPRODUCT((Projects!$G$2:$G$45="Yes")*(24&gt;=Projects!$C$2:$C$45)*(24&lt;=Projects!$W$2:$W$45))</f>
        <v>7</v>
      </c>
      <c r="AC37" s="363" t="n">
        <f aca="false">SUMPRODUCT((Projects!$G$2:$G$45="Yes")*(25&gt;=Projects!$C$2:$C$45)*(25&lt;=Projects!$W$2:$W$45))</f>
        <v>6</v>
      </c>
      <c r="AD37" s="363" t="n">
        <f aca="false">SUMPRODUCT((Projects!$G$2:$G$45="Yes")*(26&gt;=Projects!$C$2:$C$45)*(26&lt;=Projects!$W$2:$W$45))</f>
        <v>6</v>
      </c>
      <c r="AE37" s="363" t="n">
        <f aca="false">SUMPRODUCT((Projects!$G$2:$G$45="Yes")*(27&gt;=Projects!$C$2:$C$45)*(27&lt;=Projects!$W$2:$W$45))</f>
        <v>6</v>
      </c>
      <c r="AF37" s="363" t="n">
        <f aca="false">SUMPRODUCT((Projects!$G$2:$G$45="Yes")*(28&gt;=Projects!$C$2:$C$45)*(28&lt;=Projects!$W$2:$W$45))</f>
        <v>6</v>
      </c>
      <c r="AG37" s="363" t="n">
        <f aca="false">SUMPRODUCT((Projects!$G$2:$G$45="Yes")*(29&gt;=Projects!$C$2:$C$45)*(29&lt;=Projects!$W$2:$W$45))</f>
        <v>4</v>
      </c>
      <c r="AH37" s="363" t="n">
        <f aca="false">SUMPRODUCT((Projects!$G$2:$G$45="Yes")*(30&gt;=Projects!$C$2:$C$45)*(30&lt;=Projects!$W$2:$W$45))</f>
        <v>3</v>
      </c>
      <c r="AI37" s="363" t="n">
        <f aca="false">SUMPRODUCT((Projects!$G$2:$G$45="Yes")*(31&gt;=Projects!$C$2:$C$45)*(31&lt;=Projects!$W$2:$W$45))</f>
        <v>3</v>
      </c>
      <c r="AJ37" s="363" t="n">
        <f aca="false">SUMPRODUCT((Projects!$G$2:$G$45="Yes")*(32&gt;=Projects!$C$2:$C$45)*(32&lt;=Projects!$W$2:$W$45))</f>
        <v>3</v>
      </c>
      <c r="AK37" s="363" t="n">
        <f aca="false">SUMPRODUCT((Projects!$G$2:$G$45="Yes")*(33&gt;=Projects!$C$2:$C$45)*(33&lt;=Projects!$W$2:$W$45))</f>
        <v>3</v>
      </c>
      <c r="AL37" s="363" t="n">
        <f aca="false">SUMPRODUCT((Projects!$G$2:$G$45="Yes")*(34&gt;=Projects!$C$2:$C$45)*(34&lt;=Projects!$W$2:$W$45))</f>
        <v>3</v>
      </c>
      <c r="AM37" s="363" t="n">
        <f aca="false">SUMPRODUCT((Projects!$G$2:$G$45="Yes")*(35&gt;=Projects!$C$2:$C$45)*(35&lt;=Projects!$W$2:$W$45))</f>
        <v>3</v>
      </c>
      <c r="AN37" s="363" t="n">
        <f aca="false">SUMPRODUCT((Projects!$G$2:$G$45="Yes")*(36&gt;=Projects!$C$2:$C$45)*(36&lt;=Projects!$W$2:$W$45))</f>
        <v>3</v>
      </c>
      <c r="AO37" s="363" t="n">
        <f aca="false">SUMPRODUCT((Projects!$G$2:$G$45="Yes")*(37&gt;=Projects!$C$2:$C$45)*(37&lt;=Projects!$W$2:$W$45))</f>
        <v>2</v>
      </c>
      <c r="AP37" s="363" t="n">
        <f aca="false">SUMPRODUCT((Projects!$G$2:$G$45="Yes")*(38&gt;=Projects!$C$2:$C$45)*(38&lt;=Projects!$W$2:$W$45))</f>
        <v>2</v>
      </c>
      <c r="AQ37" s="363" t="n">
        <f aca="false">SUMPRODUCT((Projects!$G$2:$G$45="Yes")*(39&gt;=Projects!$C$2:$C$45)*(39&lt;=Projects!$W$2:$W$45))</f>
        <v>1</v>
      </c>
      <c r="AR37" s="363" t="n">
        <f aca="false">SUMPRODUCT((Projects!$G$2:$G$45="Yes")*(40&gt;=Projects!$C$2:$C$45)*(40&lt;=Projects!$W$2:$W$45))</f>
        <v>1</v>
      </c>
      <c r="AS37" s="363" t="n">
        <f aca="false">SUMPRODUCT((Projects!$G$2:$G$45="Yes")*(41&gt;=Projects!$C$2:$C$45)*(41&lt;=Projects!$W$2:$W$45))</f>
        <v>1</v>
      </c>
      <c r="AT37" s="363" t="n">
        <f aca="false">SUMPRODUCT((Projects!$G$2:$G$45="Yes")*(42&gt;=Projects!$C$2:$C$45)*(42&lt;=Projects!$W$2:$W$45))</f>
        <v>1</v>
      </c>
      <c r="AU37" s="363" t="n">
        <f aca="false">SUMPRODUCT((Projects!$G$2:$G$45="Yes")*(43&gt;=Projects!$C$2:$C$45)*(43&lt;=Projects!$W$2:$W$45))</f>
        <v>1</v>
      </c>
      <c r="AV37" s="363" t="n">
        <f aca="false">SUMPRODUCT((Projects!$G$2:$G$45="Yes")*(44&gt;=Projects!$C$2:$C$45)*(44&lt;=Projects!$W$2:$W$45))</f>
        <v>1</v>
      </c>
      <c r="AW37" s="363" t="n">
        <f aca="false">SUMPRODUCT((Projects!$G$2:$G$45="Yes")*(45&gt;=Projects!$C$2:$C$45)*(45&lt;=Projects!$W$2:$W$45))</f>
        <v>0</v>
      </c>
      <c r="AX37" s="363" t="n">
        <f aca="false">SUMPRODUCT((Projects!$G$2:$G$45="Yes")*(46&gt;=Projects!$C$2:$C$45)*(46&lt;=Projects!$W$2:$W$45))</f>
        <v>0</v>
      </c>
      <c r="AY37" s="363" t="n">
        <f aca="false">SUMPRODUCT((Projects!$G$2:$G$45="Yes")*(47&gt;=Projects!$C$2:$C$45)*(47&lt;=Projects!$W$2:$W$45))</f>
        <v>0</v>
      </c>
      <c r="AZ37" s="363" t="n">
        <f aca="false">SUMPRODUCT((Projects!$G$2:$G$45="Yes")*(48&gt;=Projects!$C$2:$C$45)*(48&lt;=Projects!$W$2:$W$45))</f>
        <v>0</v>
      </c>
      <c r="BA37" s="363" t="n">
        <f aca="false">SUMPRODUCT((Projects!$G$2:$G$45="Yes")*(49&gt;=Projects!$C$2:$C$45)*(49&lt;=Projects!$W$2:$W$45))</f>
        <v>0</v>
      </c>
      <c r="BB37" s="363" t="n">
        <f aca="false">SUMPRODUCT((Projects!$G$2:$G$45="Yes")*(50&gt;=Projects!$C$2:$C$45)*(50&lt;=Projects!$W$2:$W$45))</f>
        <v>0</v>
      </c>
      <c r="BC37" s="363" t="n">
        <f aca="false">SUMPRODUCT((Projects!$G$2:$G$45="Yes")*(51&gt;=Projects!$C$2:$C$45)*(51&lt;=Projects!$W$2:$W$45))</f>
        <v>0</v>
      </c>
      <c r="BD37" s="363" t="n">
        <f aca="false">SUMPRODUCT((Projects!$G$2:$G$45="Yes")*(52&gt;=Projects!$C$2:$C$45)*(52&lt;=Projects!$W$2:$W$45))</f>
        <v>0</v>
      </c>
      <c r="BE37" s="363" t="n">
        <f aca="false">SUMPRODUCT((Projects!$G$2:$G$45="Yes")*(53&gt;=Projects!$C$2:$C$45)*(53&lt;=Projects!$W$2:$W$45))</f>
        <v>0</v>
      </c>
      <c r="BF37" s="363" t="n">
        <f aca="false">SUMPRODUCT((Projects!$G$2:$G$45="Yes")*(54&gt;=Projects!$C$2:$C$45)*(54&lt;=Projects!$W$2:$W$45))</f>
        <v>0</v>
      </c>
      <c r="BG37" s="363" t="n">
        <f aca="false">SUMPRODUCT((Projects!$G$2:$G$45="Yes")*(55&gt;=Projects!$C$2:$C$45)*(55&lt;=Projects!$W$2:$W$45))</f>
        <v>0</v>
      </c>
      <c r="BH37" s="363" t="n">
        <f aca="false">SUMPRODUCT((Projects!$G$2:$G$45="Yes")*(56&gt;=Projects!$C$2:$C$45)*(56&lt;=Projects!$W$2:$W$45))</f>
        <v>0</v>
      </c>
      <c r="BI37" s="363" t="n">
        <f aca="false">SUMPRODUCT((Projects!$G$2:$G$45="Yes")*(57&gt;=Projects!$C$2:$C$45)*(57&lt;=Projects!$W$2:$W$45))</f>
        <v>0</v>
      </c>
      <c r="BJ37" s="363" t="n">
        <f aca="false">SUMPRODUCT((Projects!$G$2:$G$45="Yes")*(58&gt;=Projects!$C$2:$C$45)*(58&lt;=Projects!$W$2:$W$45))</f>
        <v>0</v>
      </c>
      <c r="BK37" s="363" t="n">
        <f aca="false">SUMPRODUCT((Projects!$G$2:$G$45="Yes")*(59&gt;=Projects!$C$2:$C$45)*(59&lt;=Projects!$W$2:$W$45))</f>
        <v>0</v>
      </c>
      <c r="BL37" s="363" t="n">
        <f aca="false">SUMPRODUCT((Projects!$G$2:$G$45="Yes")*(60&gt;=Projects!$C$2:$C$45)*(60&lt;=Projects!$W$2:$W$45))</f>
        <v>0</v>
      </c>
      <c r="BM37" s="363" t="n">
        <f aca="false">SUMPRODUCT((Projects!$G$2:$G$45="Yes")*(61&gt;=Projects!$C$2:$C$45)*(61&lt;=Projects!$W$2:$W$45))</f>
        <v>0</v>
      </c>
      <c r="BN37" s="363" t="n">
        <f aca="false">SUMPRODUCT((Projects!$G$2:$G$45="Yes")*(62&gt;=Projects!$C$2:$C$45)*(62&lt;=Projects!$W$2:$W$45))</f>
        <v>0</v>
      </c>
      <c r="BO37" s="363" t="n">
        <f aca="false">SUMPRODUCT((Projects!$G$2:$G$45="Yes")*(63&gt;=Projects!$C$2:$C$45)*(63&lt;=Projects!$W$2:$W$45))</f>
        <v>0</v>
      </c>
      <c r="BP37" s="363" t="n">
        <f aca="false">SUMPRODUCT((Projects!$G$2:$G$45="Yes")*(64&gt;=Projects!$C$2:$C$45)*(64&lt;=Projects!$W$2:$W$45))</f>
        <v>0</v>
      </c>
      <c r="BQ37" s="363" t="n">
        <f aca="false">SUMPRODUCT((Projects!$G$2:$G$45="Yes")*(65&gt;=Projects!$C$2:$C$45)*(65&lt;=Projects!$W$2:$W$45))</f>
        <v>0</v>
      </c>
      <c r="BR37" s="363" t="n">
        <f aca="false">SUMPRODUCT((Projects!$G$2:$G$45="Yes")*(66&gt;=Projects!$C$2:$C$45)*(66&lt;=Projects!$W$2:$W$45))</f>
        <v>0</v>
      </c>
      <c r="BS37" s="363" t="n">
        <f aca="false">SUMPRODUCT((Projects!$G$2:$G$45="Yes")*(67&gt;=Projects!$C$2:$C$45)*(67&lt;=Projects!$W$2:$W$45))</f>
        <v>0</v>
      </c>
      <c r="BT37" s="363" t="n">
        <f aca="false">SUMPRODUCT((Projects!$G$2:$G$45="Yes")*(68&gt;=Projects!$C$2:$C$45)*(68&lt;=Projects!$W$2:$W$45))</f>
        <v>0</v>
      </c>
      <c r="BU37" s="363" t="n">
        <f aca="false">SUMPRODUCT((Projects!$G$2:$G$45="Yes")*(69&gt;=Projects!$C$2:$C$45)*(69&lt;=Projects!$W$2:$W$45))</f>
        <v>0</v>
      </c>
      <c r="BV37" s="363" t="n">
        <f aca="false">SUMPRODUCT((Projects!$G$2:$G$45="Yes")*(70&gt;=Projects!$C$2:$C$45)*(70&lt;=Projects!$W$2:$W$45))</f>
        <v>0</v>
      </c>
      <c r="BW37" s="363" t="n">
        <f aca="false">SUMPRODUCT((Projects!$G$2:$G$45="Yes")*(71&gt;=Projects!$C$2:$C$45)*(71&lt;=Projects!$W$2:$W$45))</f>
        <v>0</v>
      </c>
      <c r="BX37" s="363" t="n">
        <f aca="false">SUMPRODUCT((Projects!$G$2:$G$45="Yes")*(72&gt;=Projects!$C$2:$C$45)*(72&lt;=Projects!$W$2:$W$45))</f>
        <v>0</v>
      </c>
      <c r="BY37" s="363" t="n">
        <f aca="false">SUMPRODUCT((Projects!$G$2:$G$45="Yes")*(73&gt;=Projects!$C$2:$C$45)*(73&lt;=Projects!$W$2:$W$45))</f>
        <v>0</v>
      </c>
      <c r="BZ37" s="363" t="n">
        <f aca="false">SUMPRODUCT((Projects!$G$2:$G$45="Yes")*(74&gt;=Projects!$C$2:$C$45)*(74&lt;=Projects!$W$2:$W$45))</f>
        <v>0</v>
      </c>
      <c r="CA37" s="363" t="n">
        <f aca="false">SUMPRODUCT((Projects!$G$2:$G$45="Yes")*(75&gt;=Projects!$C$2:$C$45)*(75&lt;=Projects!$W$2:$W$45))</f>
        <v>0</v>
      </c>
      <c r="CB37" s="363" t="n">
        <f aca="false">SUMPRODUCT((Projects!$G$2:$G$45="Yes")*(76&gt;=Projects!$C$2:$C$45)*(76&lt;=Projects!$W$2:$W$45))</f>
        <v>0</v>
      </c>
      <c r="CC37" s="363" t="n">
        <f aca="false">SUMPRODUCT((Projects!$G$2:$G$45="Yes")*(77&gt;=Projects!$C$2:$C$45)*(77&lt;=Projects!$W$2:$W$45))</f>
        <v>0</v>
      </c>
      <c r="CD37" s="363" t="n">
        <f aca="false">SUMPRODUCT((Projects!$G$2:$G$45="Yes")*(78&gt;=Projects!$C$2:$C$45)*(78&lt;=Projects!$W$2:$W$45))</f>
        <v>0</v>
      </c>
      <c r="CE37" s="363" t="n">
        <f aca="false">SUMPRODUCT((Projects!$G$2:$G$45="Yes")*(79&gt;=Projects!$C$2:$C$45)*(79&lt;=Projects!$W$2:$W$45))</f>
        <v>0</v>
      </c>
      <c r="CF37" s="363" t="n">
        <f aca="false">SUMPRODUCT((Projects!$G$2:$G$45="Yes")*(80&gt;=Projects!$C$2:$C$45)*(80&lt;=Projects!$W$2:$W$45))</f>
        <v>0</v>
      </c>
      <c r="CG37" s="363" t="n">
        <f aca="false">SUMPRODUCT((Projects!$G$2:$G$45="Yes")*(81&gt;=Projects!$C$2:$C$45)*(81&lt;=Projects!$W$2:$W$45))</f>
        <v>0</v>
      </c>
      <c r="CH37" s="363" t="n">
        <f aca="false">SUMPRODUCT((Projects!$G$2:$G$45="Yes")*(82&gt;=Projects!$C$2:$C$45)*(82&lt;=Projects!$W$2:$W$45))</f>
        <v>0</v>
      </c>
      <c r="CI37" s="363" t="n">
        <f aca="false">SUMPRODUCT((Projects!$G$2:$G$45="Yes")*(83&gt;=Projects!$C$2:$C$45)*(83&lt;=Projects!$W$2:$W$45))</f>
        <v>0</v>
      </c>
      <c r="CJ37" s="363" t="n">
        <f aca="false">SUMPRODUCT((Projects!$G$2:$G$45="Yes")*(84&gt;=Projects!$C$2:$C$45)*(84&lt;=Projects!$W$2:$W$45))</f>
        <v>0</v>
      </c>
      <c r="CK37" s="363" t="n">
        <f aca="false">SUMPRODUCT((Projects!$G$2:$G$45="Yes")*(85&gt;=Projects!$C$2:$C$45)*(85&lt;=Projects!$W$2:$W$45))</f>
        <v>0</v>
      </c>
      <c r="CL37" s="363" t="n">
        <f aca="false">SUMPRODUCT((Projects!$G$2:$G$45="Yes")*(86&gt;=Projects!$C$2:$C$45)*(86&lt;=Projects!$W$2:$W$45))</f>
        <v>0</v>
      </c>
      <c r="CM37" s="363" t="n">
        <f aca="false">SUMPRODUCT((Projects!$G$2:$G$45="Yes")*(87&gt;=Projects!$C$2:$C$45)*(87&lt;=Projects!$W$2:$W$45))</f>
        <v>0</v>
      </c>
      <c r="CN37" s="363" t="n">
        <f aca="false">SUMPRODUCT((Projects!$G$2:$G$45="Yes")*(88&gt;=Projects!$C$2:$C$45)*(88&lt;=Projects!$W$2:$W$45))</f>
        <v>0</v>
      </c>
      <c r="CO37" s="363" t="n">
        <f aca="false">SUMPRODUCT((Projects!$G$2:$G$45="Yes")*(89&gt;=Projects!$C$2:$C$45)*(89&lt;=Projects!$W$2:$W$45))</f>
        <v>0</v>
      </c>
      <c r="CP37" s="363" t="n">
        <f aca="false">SUMPRODUCT((Projects!$G$2:$G$45="Yes")*(90&gt;=Projects!$C$2:$C$45)*(90&lt;=Projects!$W$2:$W$45))</f>
        <v>0</v>
      </c>
      <c r="CQ37" s="363" t="n">
        <f aca="false">SUMPRODUCT((Projects!$G$2:$G$45="Yes")*(91&gt;=Projects!$C$2:$C$45)*(91&lt;=Projects!$W$2:$W$45))</f>
        <v>0</v>
      </c>
      <c r="CR37" s="363" t="n">
        <f aca="false">SUMPRODUCT((Projects!$G$2:$G$45="Yes")*(92&gt;=Projects!$C$2:$C$45)*(92&lt;=Projects!$W$2:$W$45))</f>
        <v>0</v>
      </c>
      <c r="CS37" s="363" t="n">
        <f aca="false">SUMPRODUCT((Projects!$G$2:$G$45="Yes")*(93&gt;=Projects!$C$2:$C$45)*(93&lt;=Projects!$W$2:$W$45))</f>
        <v>0</v>
      </c>
      <c r="CT37" s="363" t="n">
        <f aca="false">SUMPRODUCT((Projects!$G$2:$G$45="Yes")*(94&gt;=Projects!$C$2:$C$45)*(94&lt;=Projects!$W$2:$W$45))</f>
        <v>0</v>
      </c>
      <c r="CU37" s="363" t="n">
        <f aca="false">SUMPRODUCT((Projects!$G$2:$G$45="Yes")*(95&gt;=Projects!$C$2:$C$45)*(95&lt;=Projects!$W$2:$W$45))</f>
        <v>0</v>
      </c>
      <c r="CV37" s="363" t="n">
        <f aca="false">SUMPRODUCT((Projects!$G$2:$G$45="Yes")*(96&gt;=Projects!$C$2:$C$45)*(96&lt;=Projects!$W$2:$W$45))</f>
        <v>0</v>
      </c>
      <c r="CW37" s="363" t="n">
        <f aca="false">SUMPRODUCT((Projects!$G$2:$G$45="Yes")*(97&gt;=Projects!$C$2:$C$45)*(97&lt;=Projects!$W$2:$W$45))</f>
        <v>0</v>
      </c>
      <c r="CX37" s="363" t="n">
        <f aca="false">SUMPRODUCT((Projects!$G$2:$G$45="Yes")*(98&gt;=Projects!$C$2:$C$45)*(98&lt;=Projects!$W$2:$W$45))</f>
        <v>0</v>
      </c>
      <c r="CY37" s="363" t="n">
        <f aca="false">SUMPRODUCT((Projects!$G$2:$G$45="Yes")*(99&gt;=Projects!$C$2:$C$45)*(99&lt;=Projects!$W$2:$W$45))</f>
        <v>0</v>
      </c>
      <c r="CZ37" s="363" t="n">
        <f aca="false">SUMPRODUCT((Projects!$G$2:$G$45="Yes")*(100&gt;=Projects!$C$2:$C$45)*(100&lt;=Projects!$W$2:$W$45))</f>
        <v>0</v>
      </c>
      <c r="DA37" s="363" t="n">
        <f aca="false">SUMPRODUCT((Projects!$G$2:$G$45="Yes")*(101&gt;=Projects!$C$2:$C$45)*(101&lt;=Projects!$W$2:$W$45))</f>
        <v>0</v>
      </c>
      <c r="DB37" s="363" t="n">
        <f aca="false">SUMPRODUCT((Projects!$G$2:$G$45="Yes")*(102&gt;=Projects!$C$2:$C$45)*(102&lt;=Projects!$W$2:$W$45))</f>
        <v>0</v>
      </c>
      <c r="DC37" s="363" t="n">
        <f aca="false">SUMPRODUCT((Projects!$G$2:$G$45="Yes")*(103&gt;=Projects!$C$2:$C$45)*(103&lt;=Projects!$W$2:$W$45))</f>
        <v>0</v>
      </c>
      <c r="DD37" s="363" t="n">
        <f aca="false">SUMPRODUCT((Projects!$G$2:$G$45="Yes")*(104&gt;=Projects!$C$2:$C$45)*(104&lt;=Projects!$W$2:$W$45))</f>
        <v>0</v>
      </c>
      <c r="DE37" s="363" t="n">
        <f aca="false">SUMPRODUCT((Projects!$G$2:$G$45="Yes")*(105&gt;=Projects!$C$2:$C$45)*(105&lt;=Projects!$W$2:$W$45))</f>
        <v>0</v>
      </c>
    </row>
    <row r="38" customFormat="false" ht="13.5" hidden="false" customHeight="true" outlineLevel="0" collapsed="false">
      <c r="A38" s="109" t="s">
        <v>1208</v>
      </c>
      <c r="E38" s="363" t="n">
        <f aca="false">SUMPRODUCT((Projects!$G$2:$G$45="Yes")*(1&gt;=Projects!$C$2:$C$45-$B$14)*(1&lt;=Projects!$W$2:$W$45+$B$17))*$B$5</f>
        <v>4.375</v>
      </c>
      <c r="F38" s="363" t="n">
        <f aca="false">SUMPRODUCT((Projects!$G$2:$G$45="Yes")*(2&gt;=Projects!$C$2:$C$45-$B$14)*(2&lt;=Projects!$W$2:$W$45+$B$17))*$B$5</f>
        <v>4.375</v>
      </c>
      <c r="G38" s="363" t="n">
        <f aca="false">SUMPRODUCT((Projects!$G$2:$G$45="Yes")*(3&gt;=Projects!$C$2:$C$45-$B$14)*(3&lt;=Projects!$W$2:$W$45+$B$17))*$B$5</f>
        <v>4.375</v>
      </c>
      <c r="H38" s="363" t="n">
        <f aca="false">SUMPRODUCT((Projects!$G$2:$G$45="Yes")*(4&gt;=Projects!$C$2:$C$45-$B$14)*(4&lt;=Projects!$W$2:$W$45+$B$17))*$B$5</f>
        <v>4.375</v>
      </c>
      <c r="I38" s="363" t="n">
        <f aca="false">SUMPRODUCT((Projects!$G$2:$G$45="Yes")*(5&gt;=Projects!$C$2:$C$45-$B$14)*(5&lt;=Projects!$W$2:$W$45+$B$17))*$B$5</f>
        <v>6.125</v>
      </c>
      <c r="J38" s="363" t="n">
        <f aca="false">SUMPRODUCT((Projects!$G$2:$G$45="Yes")*(6&gt;=Projects!$C$2:$C$45-$B$14)*(6&lt;=Projects!$W$2:$W$45+$B$17))*$B$5</f>
        <v>7</v>
      </c>
      <c r="K38" s="363" t="n">
        <f aca="false">SUMPRODUCT((Projects!$G$2:$G$45="Yes")*(7&gt;=Projects!$C$2:$C$45-$B$14)*(7&lt;=Projects!$W$2:$W$45+$B$17))*$B$5</f>
        <v>7</v>
      </c>
      <c r="L38" s="363" t="n">
        <f aca="false">SUMPRODUCT((Projects!$G$2:$G$45="Yes")*(8&gt;=Projects!$C$2:$C$45-$B$14)*(8&lt;=Projects!$W$2:$W$45+$B$17))*$B$5</f>
        <v>7</v>
      </c>
      <c r="M38" s="363" t="n">
        <f aca="false">SUMPRODUCT((Projects!$G$2:$G$45="Yes")*(9&gt;=Projects!$C$2:$C$45-$B$14)*(9&lt;=Projects!$W$2:$W$45+$B$17))*$B$5</f>
        <v>7.875</v>
      </c>
      <c r="N38" s="363" t="n">
        <f aca="false">SUMPRODUCT((Projects!$G$2:$G$45="Yes")*(10&gt;=Projects!$C$2:$C$45-$B$14)*(10&lt;=Projects!$W$2:$W$45+$B$17))*$B$5</f>
        <v>7.875</v>
      </c>
      <c r="O38" s="363" t="n">
        <f aca="false">SUMPRODUCT((Projects!$G$2:$G$45="Yes")*(11&gt;=Projects!$C$2:$C$45-$B$14)*(11&lt;=Projects!$W$2:$W$45+$B$17))*$B$5</f>
        <v>8.75</v>
      </c>
      <c r="P38" s="363" t="n">
        <f aca="false">SUMPRODUCT((Projects!$G$2:$G$45="Yes")*(12&gt;=Projects!$C$2:$C$45-$B$14)*(12&lt;=Projects!$W$2:$W$45+$B$17))*$B$5</f>
        <v>8.75</v>
      </c>
      <c r="Q38" s="363" t="n">
        <f aca="false">SUMPRODUCT((Projects!$G$2:$G$45="Yes")*(13&gt;=Projects!$C$2:$C$45-$B$14)*(13&lt;=Projects!$W$2:$W$45+$B$17))*$B$5</f>
        <v>8.75</v>
      </c>
      <c r="R38" s="363" t="n">
        <f aca="false">SUMPRODUCT((Projects!$G$2:$G$45="Yes")*(14&gt;=Projects!$C$2:$C$45-$B$14)*(14&lt;=Projects!$W$2:$W$45+$B$17))*$B$5</f>
        <v>8.75</v>
      </c>
      <c r="S38" s="363" t="n">
        <f aca="false">SUMPRODUCT((Projects!$G$2:$G$45="Yes")*(15&gt;=Projects!$C$2:$C$45-$B$14)*(15&lt;=Projects!$W$2:$W$45+$B$17))*$B$5</f>
        <v>10.5</v>
      </c>
      <c r="T38" s="363" t="n">
        <f aca="false">SUMPRODUCT((Projects!$G$2:$G$45="Yes")*(16&gt;=Projects!$C$2:$C$45-$B$14)*(16&lt;=Projects!$W$2:$W$45+$B$17))*$B$5</f>
        <v>10.5</v>
      </c>
      <c r="U38" s="363" t="n">
        <f aca="false">SUMPRODUCT((Projects!$G$2:$G$45="Yes")*(17&gt;=Projects!$C$2:$C$45-$B$14)*(17&lt;=Projects!$W$2:$W$45+$B$17))*$B$5</f>
        <v>9.625</v>
      </c>
      <c r="V38" s="363" t="n">
        <f aca="false">SUMPRODUCT((Projects!$G$2:$G$45="Yes")*(18&gt;=Projects!$C$2:$C$45-$B$14)*(18&lt;=Projects!$W$2:$W$45+$B$17))*$B$5</f>
        <v>9.625</v>
      </c>
      <c r="W38" s="363" t="n">
        <f aca="false">SUMPRODUCT((Projects!$G$2:$G$45="Yes")*(19&gt;=Projects!$C$2:$C$45-$B$14)*(19&lt;=Projects!$W$2:$W$45+$B$17))*$B$5</f>
        <v>8.75</v>
      </c>
      <c r="X38" s="363" t="n">
        <f aca="false">SUMPRODUCT((Projects!$G$2:$G$45="Yes")*(20&gt;=Projects!$C$2:$C$45-$B$14)*(20&lt;=Projects!$W$2:$W$45+$B$17))*$B$5</f>
        <v>7.875</v>
      </c>
      <c r="Y38" s="363" t="n">
        <f aca="false">SUMPRODUCT((Projects!$G$2:$G$45="Yes")*(21&gt;=Projects!$C$2:$C$45-$B$14)*(21&lt;=Projects!$W$2:$W$45+$B$17))*$B$5</f>
        <v>7</v>
      </c>
      <c r="Z38" s="363" t="n">
        <f aca="false">SUMPRODUCT((Projects!$G$2:$G$45="Yes")*(22&gt;=Projects!$C$2:$C$45-$B$14)*(22&lt;=Projects!$W$2:$W$45+$B$17))*$B$5</f>
        <v>7</v>
      </c>
      <c r="AA38" s="363" t="n">
        <f aca="false">SUMPRODUCT((Projects!$G$2:$G$45="Yes")*(23&gt;=Projects!$C$2:$C$45-$B$14)*(23&lt;=Projects!$W$2:$W$45+$B$17))*$B$5</f>
        <v>7</v>
      </c>
      <c r="AB38" s="363" t="n">
        <f aca="false">SUMPRODUCT((Projects!$G$2:$G$45="Yes")*(24&gt;=Projects!$C$2:$C$45-$B$14)*(24&lt;=Projects!$W$2:$W$45+$B$17))*$B$5</f>
        <v>7</v>
      </c>
      <c r="AC38" s="363" t="n">
        <f aca="false">SUMPRODUCT((Projects!$G$2:$G$45="Yes")*(25&gt;=Projects!$C$2:$C$45-$B$14)*(25&lt;=Projects!$W$2:$W$45+$B$17))*$B$5</f>
        <v>6.125</v>
      </c>
      <c r="AD38" s="363" t="n">
        <f aca="false">SUMPRODUCT((Projects!$G$2:$G$45="Yes")*(26&gt;=Projects!$C$2:$C$45-$B$14)*(26&lt;=Projects!$W$2:$W$45+$B$17))*$B$5</f>
        <v>5.25</v>
      </c>
      <c r="AE38" s="363" t="n">
        <f aca="false">SUMPRODUCT((Projects!$G$2:$G$45="Yes")*(27&gt;=Projects!$C$2:$C$45-$B$14)*(27&lt;=Projects!$W$2:$W$45+$B$17))*$B$5</f>
        <v>5.25</v>
      </c>
      <c r="AF38" s="363" t="n">
        <f aca="false">SUMPRODUCT((Projects!$G$2:$G$45="Yes")*(28&gt;=Projects!$C$2:$C$45-$B$14)*(28&lt;=Projects!$W$2:$W$45+$B$17))*$B$5</f>
        <v>5.25</v>
      </c>
      <c r="AG38" s="363" t="n">
        <f aca="false">SUMPRODUCT((Projects!$G$2:$G$45="Yes")*(29&gt;=Projects!$C$2:$C$45-$B$14)*(29&lt;=Projects!$W$2:$W$45+$B$17))*$B$5</f>
        <v>5.25</v>
      </c>
      <c r="AH38" s="363" t="n">
        <f aca="false">SUMPRODUCT((Projects!$G$2:$G$45="Yes")*(30&gt;=Projects!$C$2:$C$45-$B$14)*(30&lt;=Projects!$W$2:$W$45+$B$17))*$B$5</f>
        <v>3.5</v>
      </c>
      <c r="AI38" s="363" t="n">
        <f aca="false">SUMPRODUCT((Projects!$G$2:$G$45="Yes")*(31&gt;=Projects!$C$2:$C$45-$B$14)*(31&lt;=Projects!$W$2:$W$45+$B$17))*$B$5</f>
        <v>2.625</v>
      </c>
      <c r="AJ38" s="363" t="n">
        <f aca="false">SUMPRODUCT((Projects!$G$2:$G$45="Yes")*(32&gt;=Projects!$C$2:$C$45-$B$14)*(32&lt;=Projects!$W$2:$W$45+$B$17))*$B$5</f>
        <v>2.625</v>
      </c>
      <c r="AK38" s="363" t="n">
        <f aca="false">SUMPRODUCT((Projects!$G$2:$G$45="Yes")*(33&gt;=Projects!$C$2:$C$45-$B$14)*(33&lt;=Projects!$W$2:$W$45+$B$17))*$B$5</f>
        <v>2.625</v>
      </c>
      <c r="AL38" s="363" t="n">
        <f aca="false">SUMPRODUCT((Projects!$G$2:$G$45="Yes")*(34&gt;=Projects!$C$2:$C$45-$B$14)*(34&lt;=Projects!$W$2:$W$45+$B$17))*$B$5</f>
        <v>2.625</v>
      </c>
      <c r="AM38" s="363" t="n">
        <f aca="false">SUMPRODUCT((Projects!$G$2:$G$45="Yes")*(35&gt;=Projects!$C$2:$C$45-$B$14)*(35&lt;=Projects!$W$2:$W$45+$B$17))*$B$5</f>
        <v>2.625</v>
      </c>
      <c r="AN38" s="363" t="n">
        <f aca="false">SUMPRODUCT((Projects!$G$2:$G$45="Yes")*(36&gt;=Projects!$C$2:$C$45-$B$14)*(36&lt;=Projects!$W$2:$W$45+$B$17))*$B$5</f>
        <v>2.625</v>
      </c>
      <c r="AO38" s="363" t="n">
        <f aca="false">SUMPRODUCT((Projects!$G$2:$G$45="Yes")*(37&gt;=Projects!$C$2:$C$45-$B$14)*(37&lt;=Projects!$W$2:$W$45+$B$17))*$B$5</f>
        <v>2.625</v>
      </c>
      <c r="AP38" s="363" t="n">
        <f aca="false">SUMPRODUCT((Projects!$G$2:$G$45="Yes")*(38&gt;=Projects!$C$2:$C$45-$B$14)*(38&lt;=Projects!$W$2:$W$45+$B$17))*$B$5</f>
        <v>1.75</v>
      </c>
      <c r="AQ38" s="363" t="n">
        <f aca="false">SUMPRODUCT((Projects!$G$2:$G$45="Yes")*(39&gt;=Projects!$C$2:$C$45-$B$14)*(39&lt;=Projects!$W$2:$W$45+$B$17))*$B$5</f>
        <v>1.75</v>
      </c>
      <c r="AR38" s="363" t="n">
        <f aca="false">SUMPRODUCT((Projects!$G$2:$G$45="Yes")*(40&gt;=Projects!$C$2:$C$45-$B$14)*(40&lt;=Projects!$W$2:$W$45+$B$17))*$B$5</f>
        <v>0.875</v>
      </c>
      <c r="AS38" s="363" t="n">
        <f aca="false">SUMPRODUCT((Projects!$G$2:$G$45="Yes")*(41&gt;=Projects!$C$2:$C$45-$B$14)*(41&lt;=Projects!$W$2:$W$45+$B$17))*$B$5</f>
        <v>0.875</v>
      </c>
      <c r="AT38" s="363" t="n">
        <f aca="false">SUMPRODUCT((Projects!$G$2:$G$45="Yes")*(42&gt;=Projects!$C$2:$C$45-$B$14)*(42&lt;=Projects!$W$2:$W$45+$B$17))*$B$5</f>
        <v>0.875</v>
      </c>
      <c r="AU38" s="363" t="n">
        <f aca="false">SUMPRODUCT((Projects!$G$2:$G$45="Yes")*(43&gt;=Projects!$C$2:$C$45-$B$14)*(43&lt;=Projects!$W$2:$W$45+$B$17))*$B$5</f>
        <v>0.875</v>
      </c>
      <c r="AV38" s="363" t="n">
        <f aca="false">SUMPRODUCT((Projects!$G$2:$G$45="Yes")*(44&gt;=Projects!$C$2:$C$45-$B$14)*(44&lt;=Projects!$W$2:$W$45+$B$17))*$B$5</f>
        <v>0.875</v>
      </c>
      <c r="AW38" s="363" t="n">
        <f aca="false">SUMPRODUCT((Projects!$G$2:$G$45="Yes")*(45&gt;=Projects!$C$2:$C$45-$B$14)*(45&lt;=Projects!$W$2:$W$45+$B$17))*$B$5</f>
        <v>0.875</v>
      </c>
      <c r="AX38" s="363" t="n">
        <f aca="false">SUMPRODUCT((Projects!$G$2:$G$45="Yes")*(46&gt;=Projects!$C$2:$C$45-$B$14)*(46&lt;=Projects!$W$2:$W$45+$B$17))*$B$5</f>
        <v>0</v>
      </c>
      <c r="AY38" s="363" t="n">
        <f aca="false">SUMPRODUCT((Projects!$G$2:$G$45="Yes")*(47&gt;=Projects!$C$2:$C$45-$B$14)*(47&lt;=Projects!$W$2:$W$45+$B$17))*$B$5</f>
        <v>0</v>
      </c>
      <c r="AZ38" s="363" t="n">
        <f aca="false">SUMPRODUCT((Projects!$G$2:$G$45="Yes")*(48&gt;=Projects!$C$2:$C$45-$B$14)*(48&lt;=Projects!$W$2:$W$45+$B$17))*$B$5</f>
        <v>0</v>
      </c>
      <c r="BA38" s="363" t="n">
        <f aca="false">SUMPRODUCT((Projects!$G$2:$G$45="Yes")*(49&gt;=Projects!$C$2:$C$45-$B$14)*(49&lt;=Projects!$W$2:$W$45+$B$17))*$B$5</f>
        <v>0</v>
      </c>
      <c r="BB38" s="363" t="n">
        <f aca="false">SUMPRODUCT((Projects!$G$2:$G$45="Yes")*(50&gt;=Projects!$C$2:$C$45-$B$14)*(50&lt;=Projects!$W$2:$W$45+$B$17))*$B$5</f>
        <v>0</v>
      </c>
      <c r="BC38" s="363" t="n">
        <f aca="false">SUMPRODUCT((Projects!$G$2:$G$45="Yes")*(51&gt;=Projects!$C$2:$C$45-$B$14)*(51&lt;=Projects!$W$2:$W$45+$B$17))*$B$5</f>
        <v>0</v>
      </c>
      <c r="BD38" s="363" t="n">
        <f aca="false">SUMPRODUCT((Projects!$G$2:$G$45="Yes")*(52&gt;=Projects!$C$2:$C$45-$B$14)*(52&lt;=Projects!$W$2:$W$45+$B$17))*$B$5</f>
        <v>0</v>
      </c>
      <c r="BE38" s="363" t="n">
        <f aca="false">SUMPRODUCT((Projects!$G$2:$G$45="Yes")*(53&gt;=Projects!$C$2:$C$45-$B$14)*(53&lt;=Projects!$W$2:$W$45+$B$17))*$B$5</f>
        <v>0</v>
      </c>
      <c r="BF38" s="363" t="n">
        <f aca="false">SUMPRODUCT((Projects!$G$2:$G$45="Yes")*(54&gt;=Projects!$C$2:$C$45-$B$14)*(54&lt;=Projects!$W$2:$W$45+$B$17))*$B$5</f>
        <v>0</v>
      </c>
      <c r="BG38" s="363" t="n">
        <f aca="false">SUMPRODUCT((Projects!$G$2:$G$45="Yes")*(55&gt;=Projects!$C$2:$C$45-$B$14)*(55&lt;=Projects!$W$2:$W$45+$B$17))*$B$5</f>
        <v>0</v>
      </c>
      <c r="BH38" s="363" t="n">
        <f aca="false">SUMPRODUCT((Projects!$G$2:$G$45="Yes")*(56&gt;=Projects!$C$2:$C$45-$B$14)*(56&lt;=Projects!$W$2:$W$45+$B$17))*$B$5</f>
        <v>0</v>
      </c>
      <c r="BI38" s="363" t="n">
        <f aca="false">SUMPRODUCT((Projects!$G$2:$G$45="Yes")*(57&gt;=Projects!$C$2:$C$45-$B$14)*(57&lt;=Projects!$W$2:$W$45+$B$17))*$B$5</f>
        <v>0</v>
      </c>
      <c r="BJ38" s="363" t="n">
        <f aca="false">SUMPRODUCT((Projects!$G$2:$G$45="Yes")*(58&gt;=Projects!$C$2:$C$45-$B$14)*(58&lt;=Projects!$W$2:$W$45+$B$17))*$B$5</f>
        <v>0</v>
      </c>
      <c r="BK38" s="363" t="n">
        <f aca="false">SUMPRODUCT((Projects!$G$2:$G$45="Yes")*(59&gt;=Projects!$C$2:$C$45-$B$14)*(59&lt;=Projects!$W$2:$W$45+$B$17))*$B$5</f>
        <v>0</v>
      </c>
      <c r="BL38" s="363" t="n">
        <f aca="false">SUMPRODUCT((Projects!$G$2:$G$45="Yes")*(60&gt;=Projects!$C$2:$C$45-$B$14)*(60&lt;=Projects!$W$2:$W$45+$B$17))*$B$5</f>
        <v>0</v>
      </c>
      <c r="BM38" s="363" t="n">
        <f aca="false">SUMPRODUCT((Projects!$G$2:$G$45="Yes")*(61&gt;=Projects!$C$2:$C$45-$B$14)*(61&lt;=Projects!$W$2:$W$45+$B$17))*$B$5</f>
        <v>0</v>
      </c>
      <c r="BN38" s="363" t="n">
        <f aca="false">SUMPRODUCT((Projects!$G$2:$G$45="Yes")*(62&gt;=Projects!$C$2:$C$45-$B$14)*(62&lt;=Projects!$W$2:$W$45+$B$17))*$B$5</f>
        <v>0</v>
      </c>
      <c r="BO38" s="363" t="n">
        <f aca="false">SUMPRODUCT((Projects!$G$2:$G$45="Yes")*(63&gt;=Projects!$C$2:$C$45-$B$14)*(63&lt;=Projects!$W$2:$W$45+$B$17))*$B$5</f>
        <v>0</v>
      </c>
      <c r="BP38" s="363" t="n">
        <f aca="false">SUMPRODUCT((Projects!$G$2:$G$45="Yes")*(64&gt;=Projects!$C$2:$C$45-$B$14)*(64&lt;=Projects!$W$2:$W$45+$B$17))*$B$5</f>
        <v>0</v>
      </c>
      <c r="BQ38" s="363" t="n">
        <f aca="false">SUMPRODUCT((Projects!$G$2:$G$45="Yes")*(65&gt;=Projects!$C$2:$C$45-$B$14)*(65&lt;=Projects!$W$2:$W$45+$B$17))*$B$5</f>
        <v>0</v>
      </c>
      <c r="BR38" s="363" t="n">
        <f aca="false">SUMPRODUCT((Projects!$G$2:$G$45="Yes")*(66&gt;=Projects!$C$2:$C$45-$B$14)*(66&lt;=Projects!$W$2:$W$45+$B$17))*$B$5</f>
        <v>0</v>
      </c>
      <c r="BS38" s="363" t="n">
        <f aca="false">SUMPRODUCT((Projects!$G$2:$G$45="Yes")*(67&gt;=Projects!$C$2:$C$45-$B$14)*(67&lt;=Projects!$W$2:$W$45+$B$17))*$B$5</f>
        <v>0</v>
      </c>
      <c r="BT38" s="363" t="n">
        <f aca="false">SUMPRODUCT((Projects!$G$2:$G$45="Yes")*(68&gt;=Projects!$C$2:$C$45-$B$14)*(68&lt;=Projects!$W$2:$W$45+$B$17))*$B$5</f>
        <v>0</v>
      </c>
      <c r="BU38" s="363" t="n">
        <f aca="false">SUMPRODUCT((Projects!$G$2:$G$45="Yes")*(69&gt;=Projects!$C$2:$C$45-$B$14)*(69&lt;=Projects!$W$2:$W$45+$B$17))*$B$5</f>
        <v>0</v>
      </c>
      <c r="BV38" s="363" t="n">
        <f aca="false">SUMPRODUCT((Projects!$G$2:$G$45="Yes")*(70&gt;=Projects!$C$2:$C$45-$B$14)*(70&lt;=Projects!$W$2:$W$45+$B$17))*$B$5</f>
        <v>0</v>
      </c>
      <c r="BW38" s="363" t="n">
        <f aca="false">SUMPRODUCT((Projects!$G$2:$G$45="Yes")*(71&gt;=Projects!$C$2:$C$45-$B$14)*(71&lt;=Projects!$W$2:$W$45+$B$17))*$B$5</f>
        <v>0</v>
      </c>
      <c r="BX38" s="363" t="n">
        <f aca="false">SUMPRODUCT((Projects!$G$2:$G$45="Yes")*(72&gt;=Projects!$C$2:$C$45-$B$14)*(72&lt;=Projects!$W$2:$W$45+$B$17))*$B$5</f>
        <v>0</v>
      </c>
      <c r="BY38" s="363" t="n">
        <f aca="false">SUMPRODUCT((Projects!$G$2:$G$45="Yes")*(73&gt;=Projects!$C$2:$C$45-$B$14)*(73&lt;=Projects!$W$2:$W$45+$B$17))*$B$5</f>
        <v>0</v>
      </c>
      <c r="BZ38" s="363" t="n">
        <f aca="false">SUMPRODUCT((Projects!$G$2:$G$45="Yes")*(74&gt;=Projects!$C$2:$C$45-$B$14)*(74&lt;=Projects!$W$2:$W$45+$B$17))*$B$5</f>
        <v>0</v>
      </c>
      <c r="CA38" s="363" t="n">
        <f aca="false">SUMPRODUCT((Projects!$G$2:$G$45="Yes")*(75&gt;=Projects!$C$2:$C$45-$B$14)*(75&lt;=Projects!$W$2:$W$45+$B$17))*$B$5</f>
        <v>0</v>
      </c>
      <c r="CB38" s="363" t="n">
        <f aca="false">SUMPRODUCT((Projects!$G$2:$G$45="Yes")*(76&gt;=Projects!$C$2:$C$45-$B$14)*(76&lt;=Projects!$W$2:$W$45+$B$17))*$B$5</f>
        <v>0</v>
      </c>
      <c r="CC38" s="363" t="n">
        <f aca="false">SUMPRODUCT((Projects!$G$2:$G$45="Yes")*(77&gt;=Projects!$C$2:$C$45-$B$14)*(77&lt;=Projects!$W$2:$W$45+$B$17))*$B$5</f>
        <v>0</v>
      </c>
      <c r="CD38" s="363" t="n">
        <f aca="false">SUMPRODUCT((Projects!$G$2:$G$45="Yes")*(78&gt;=Projects!$C$2:$C$45-$B$14)*(78&lt;=Projects!$W$2:$W$45+$B$17))*$B$5</f>
        <v>0</v>
      </c>
      <c r="CE38" s="363" t="n">
        <f aca="false">SUMPRODUCT((Projects!$G$2:$G$45="Yes")*(79&gt;=Projects!$C$2:$C$45-$B$14)*(79&lt;=Projects!$W$2:$W$45+$B$17))*$B$5</f>
        <v>0</v>
      </c>
      <c r="CF38" s="363" t="n">
        <f aca="false">SUMPRODUCT((Projects!$G$2:$G$45="Yes")*(80&gt;=Projects!$C$2:$C$45-$B$14)*(80&lt;=Projects!$W$2:$W$45+$B$17))*$B$5</f>
        <v>0</v>
      </c>
      <c r="CG38" s="363" t="n">
        <f aca="false">SUMPRODUCT((Projects!$G$2:$G$45="Yes")*(81&gt;=Projects!$C$2:$C$45-$B$14)*(81&lt;=Projects!$W$2:$W$45+$B$17))*$B$5</f>
        <v>0</v>
      </c>
      <c r="CH38" s="363" t="n">
        <f aca="false">SUMPRODUCT((Projects!$G$2:$G$45="Yes")*(82&gt;=Projects!$C$2:$C$45-$B$14)*(82&lt;=Projects!$W$2:$W$45+$B$17))*$B$5</f>
        <v>0</v>
      </c>
      <c r="CI38" s="363" t="n">
        <f aca="false">SUMPRODUCT((Projects!$G$2:$G$45="Yes")*(83&gt;=Projects!$C$2:$C$45-$B$14)*(83&lt;=Projects!$W$2:$W$45+$B$17))*$B$5</f>
        <v>0</v>
      </c>
      <c r="CJ38" s="363" t="n">
        <f aca="false">SUMPRODUCT((Projects!$G$2:$G$45="Yes")*(84&gt;=Projects!$C$2:$C$45-$B$14)*(84&lt;=Projects!$W$2:$W$45+$B$17))*$B$5</f>
        <v>0</v>
      </c>
      <c r="CK38" s="363" t="n">
        <f aca="false">SUMPRODUCT((Projects!$G$2:$G$45="Yes")*(85&gt;=Projects!$C$2:$C$45-$B$14)*(85&lt;=Projects!$W$2:$W$45+$B$17))*$B$5</f>
        <v>0</v>
      </c>
      <c r="CL38" s="363" t="n">
        <f aca="false">SUMPRODUCT((Projects!$G$2:$G$45="Yes")*(86&gt;=Projects!$C$2:$C$45-$B$14)*(86&lt;=Projects!$W$2:$W$45+$B$17))*$B$5</f>
        <v>0</v>
      </c>
      <c r="CM38" s="363" t="n">
        <f aca="false">SUMPRODUCT((Projects!$G$2:$G$45="Yes")*(87&gt;=Projects!$C$2:$C$45-$B$14)*(87&lt;=Projects!$W$2:$W$45+$B$17))*$B$5</f>
        <v>0</v>
      </c>
      <c r="CN38" s="363" t="n">
        <f aca="false">SUMPRODUCT((Projects!$G$2:$G$45="Yes")*(88&gt;=Projects!$C$2:$C$45-$B$14)*(88&lt;=Projects!$W$2:$W$45+$B$17))*$B$5</f>
        <v>0</v>
      </c>
      <c r="CO38" s="363" t="n">
        <f aca="false">SUMPRODUCT((Projects!$G$2:$G$45="Yes")*(89&gt;=Projects!$C$2:$C$45-$B$14)*(89&lt;=Projects!$W$2:$W$45+$B$17))*$B$5</f>
        <v>0</v>
      </c>
      <c r="CP38" s="363" t="n">
        <f aca="false">SUMPRODUCT((Projects!$G$2:$G$45="Yes")*(90&gt;=Projects!$C$2:$C$45-$B$14)*(90&lt;=Projects!$W$2:$W$45+$B$17))*$B$5</f>
        <v>0</v>
      </c>
      <c r="CQ38" s="363" t="n">
        <f aca="false">SUMPRODUCT((Projects!$G$2:$G$45="Yes")*(91&gt;=Projects!$C$2:$C$45-$B$14)*(91&lt;=Projects!$W$2:$W$45+$B$17))*$B$5</f>
        <v>0</v>
      </c>
      <c r="CR38" s="363" t="n">
        <f aca="false">SUMPRODUCT((Projects!$G$2:$G$45="Yes")*(92&gt;=Projects!$C$2:$C$45-$B$14)*(92&lt;=Projects!$W$2:$W$45+$B$17))*$B$5</f>
        <v>0</v>
      </c>
      <c r="CS38" s="363" t="n">
        <f aca="false">SUMPRODUCT((Projects!$G$2:$G$45="Yes")*(93&gt;=Projects!$C$2:$C$45-$B$14)*(93&lt;=Projects!$W$2:$W$45+$B$17))*$B$5</f>
        <v>0</v>
      </c>
      <c r="CT38" s="363" t="n">
        <f aca="false">SUMPRODUCT((Projects!$G$2:$G$45="Yes")*(94&gt;=Projects!$C$2:$C$45-$B$14)*(94&lt;=Projects!$W$2:$W$45+$B$17))*$B$5</f>
        <v>0</v>
      </c>
      <c r="CU38" s="363" t="n">
        <f aca="false">SUMPRODUCT((Projects!$G$2:$G$45="Yes")*(95&gt;=Projects!$C$2:$C$45-$B$14)*(95&lt;=Projects!$W$2:$W$45+$B$17))*$B$5</f>
        <v>0</v>
      </c>
      <c r="CV38" s="363" t="n">
        <f aca="false">SUMPRODUCT((Projects!$G$2:$G$45="Yes")*(96&gt;=Projects!$C$2:$C$45-$B$14)*(96&lt;=Projects!$W$2:$W$45+$B$17))*$B$5</f>
        <v>0</v>
      </c>
      <c r="CW38" s="363" t="n">
        <f aca="false">SUMPRODUCT((Projects!$G$2:$G$45="Yes")*(97&gt;=Projects!$C$2:$C$45-$B$14)*(97&lt;=Projects!$W$2:$W$45+$B$17))*$B$5</f>
        <v>0</v>
      </c>
      <c r="CX38" s="363" t="n">
        <f aca="false">SUMPRODUCT((Projects!$G$2:$G$45="Yes")*(98&gt;=Projects!$C$2:$C$45-$B$14)*(98&lt;=Projects!$W$2:$W$45+$B$17))*$B$5</f>
        <v>0</v>
      </c>
      <c r="CY38" s="363" t="n">
        <f aca="false">SUMPRODUCT((Projects!$G$2:$G$45="Yes")*(99&gt;=Projects!$C$2:$C$45-$B$14)*(99&lt;=Projects!$W$2:$W$45+$B$17))*$B$5</f>
        <v>0</v>
      </c>
      <c r="CZ38" s="363" t="n">
        <f aca="false">SUMPRODUCT((Projects!$G$2:$G$45="Yes")*(100&gt;=Projects!$C$2:$C$45-$B$14)*(100&lt;=Projects!$W$2:$W$45+$B$17))*$B$5</f>
        <v>0</v>
      </c>
      <c r="DA38" s="363" t="n">
        <f aca="false">SUMPRODUCT((Projects!$G$2:$G$45="Yes")*(101&gt;=Projects!$C$2:$C$45-$B$14)*(101&lt;=Projects!$W$2:$W$45+$B$17))*$B$5</f>
        <v>0</v>
      </c>
      <c r="DB38" s="363" t="n">
        <f aca="false">SUMPRODUCT((Projects!$G$2:$G$45="Yes")*(102&gt;=Projects!$C$2:$C$45-$B$14)*(102&lt;=Projects!$W$2:$W$45+$B$17))*$B$5</f>
        <v>0</v>
      </c>
      <c r="DC38" s="363" t="n">
        <f aca="false">SUMPRODUCT((Projects!$G$2:$G$45="Yes")*(103&gt;=Projects!$C$2:$C$45-$B$14)*(103&lt;=Projects!$W$2:$W$45+$B$17))*$B$5</f>
        <v>0</v>
      </c>
      <c r="DD38" s="363" t="n">
        <f aca="false">SUMPRODUCT((Projects!$G$2:$G$45="Yes")*(104&gt;=Projects!$C$2:$C$45-$B$14)*(104&lt;=Projects!$W$2:$W$45+$B$17))*$B$5</f>
        <v>0</v>
      </c>
      <c r="DE38" s="363" t="n">
        <f aca="false">SUMPRODUCT((Projects!$G$2:$G$45="Yes")*(105&gt;=Projects!$C$2:$C$45-$B$14)*(105&lt;=Projects!$W$2:$W$45+$B$17))*$B$5</f>
        <v>0</v>
      </c>
    </row>
    <row r="39" customFormat="false" ht="13.5" hidden="false" customHeight="true" outlineLevel="0" collapsed="false">
      <c r="A39" s="109" t="s">
        <v>1209</v>
      </c>
      <c r="E39" s="363" t="n">
        <f aca="false">SUMPRODUCT((Projects!$G$2:$G$45="Yes")*(1&gt;=Projects!$C$2:$C$45-$B$15)*((1&lt;=Projects!$W$2:$W$45-$B$106)*1+(1&gt;Projects!$W$2:$W$45-$B$106)*(1&lt;=Projects!$W$2:$W$45+$B$17)*$B$107)*((Projects!$B$2:$B$45&gt;=$B$12)*$B$6+(Projects!$B$2:$B$45&lt;$B$12)*(Projects!$B$2:$B$45&gt;=$B$13)*$B$7+(Projects!$B$2:$B$45&lt;$B$13)*$B$8))</f>
        <v>1.08</v>
      </c>
      <c r="F39" s="363" t="n">
        <f aca="false">SUMPRODUCT((Projects!$G$2:$G$45="Yes")*(2&gt;=Projects!$C$2:$C$45-$B$15)*((2&lt;=Projects!$W$2:$W$45-$B$106)*1+(2&gt;Projects!$W$2:$W$45-$B$106)*(2&lt;=Projects!$W$2:$W$45+$B$17)*$B$107)*((Projects!$B$2:$B$45&gt;=$B$12)*$B$6+(Projects!$B$2:$B$45&lt;$B$12)*(Projects!$B$2:$B$45&gt;=$B$13)*$B$7+(Projects!$B$2:$B$45&lt;$B$13)*$B$8))</f>
        <v>1.08</v>
      </c>
      <c r="G39" s="363" t="n">
        <f aca="false">SUMPRODUCT((Projects!$G$2:$G$45="Yes")*(3&gt;=Projects!$C$2:$C$45-$B$15)*((3&lt;=Projects!$W$2:$W$45-$B$106)*1+(3&gt;Projects!$W$2:$W$45-$B$106)*(3&lt;=Projects!$W$2:$W$45+$B$17)*$B$107)*((Projects!$B$2:$B$45&gt;=$B$12)*$B$6+(Projects!$B$2:$B$45&lt;$B$12)*(Projects!$B$2:$B$45&gt;=$B$13)*$B$7+(Projects!$B$2:$B$45&lt;$B$13)*$B$8))</f>
        <v>1.08</v>
      </c>
      <c r="H39" s="363" t="n">
        <f aca="false">SUMPRODUCT((Projects!$G$2:$G$45="Yes")*(4&gt;=Projects!$C$2:$C$45-$B$15)*((4&lt;=Projects!$W$2:$W$45-$B$106)*1+(4&gt;Projects!$W$2:$W$45-$B$106)*(4&lt;=Projects!$W$2:$W$45+$B$17)*$B$107)*((Projects!$B$2:$B$45&gt;=$B$12)*$B$6+(Projects!$B$2:$B$45&lt;$B$12)*(Projects!$B$2:$B$45&gt;=$B$13)*$B$7+(Projects!$B$2:$B$45&lt;$B$13)*$B$8))</f>
        <v>0.9975</v>
      </c>
      <c r="I39" s="363" t="n">
        <f aca="false">SUMPRODUCT((Projects!$G$2:$G$45="Yes")*(5&gt;=Projects!$C$2:$C$45-$B$15)*((5&lt;=Projects!$W$2:$W$45-$B$106)*1+(5&gt;Projects!$W$2:$W$45-$B$106)*(5&lt;=Projects!$W$2:$W$45+$B$17)*$B$107)*((Projects!$B$2:$B$45&gt;=$B$12)*$B$6+(Projects!$B$2:$B$45&lt;$B$12)*(Projects!$B$2:$B$45&gt;=$B$13)*$B$7+(Projects!$B$2:$B$45&lt;$B$13)*$B$8))</f>
        <v>1.7475</v>
      </c>
      <c r="J39" s="363" t="n">
        <f aca="false">SUMPRODUCT((Projects!$G$2:$G$45="Yes")*(6&gt;=Projects!$C$2:$C$45-$B$15)*((6&lt;=Projects!$W$2:$W$45-$B$106)*1+(6&gt;Projects!$W$2:$W$45-$B$106)*(6&lt;=Projects!$W$2:$W$45+$B$17)*$B$107)*((Projects!$B$2:$B$45&gt;=$B$12)*$B$6+(Projects!$B$2:$B$45&lt;$B$12)*(Projects!$B$2:$B$45&gt;=$B$13)*$B$7+(Projects!$B$2:$B$45&lt;$B$13)*$B$8))</f>
        <v>1.9975</v>
      </c>
      <c r="K39" s="363" t="n">
        <f aca="false">SUMPRODUCT((Projects!$G$2:$G$45="Yes")*(7&gt;=Projects!$C$2:$C$45-$B$15)*((7&lt;=Projects!$W$2:$W$45-$B$106)*1+(7&gt;Projects!$W$2:$W$45-$B$106)*(7&lt;=Projects!$W$2:$W$45+$B$17)*$B$107)*((Projects!$B$2:$B$45&gt;=$B$12)*$B$6+(Projects!$B$2:$B$45&lt;$B$12)*(Projects!$B$2:$B$45&gt;=$B$13)*$B$7+(Projects!$B$2:$B$45&lt;$B$13)*$B$8))</f>
        <v>1.9975</v>
      </c>
      <c r="L39" s="363" t="n">
        <f aca="false">SUMPRODUCT((Projects!$G$2:$G$45="Yes")*(8&gt;=Projects!$C$2:$C$45-$B$15)*((8&lt;=Projects!$W$2:$W$45-$B$106)*1+(8&gt;Projects!$W$2:$W$45-$B$106)*(8&lt;=Projects!$W$2:$W$45+$B$17)*$B$107)*((Projects!$B$2:$B$45&gt;=$B$12)*$B$6+(Projects!$B$2:$B$45&lt;$B$12)*(Projects!$B$2:$B$45&gt;=$B$13)*$B$7+(Projects!$B$2:$B$45&lt;$B$13)*$B$8))</f>
        <v>1.9975</v>
      </c>
      <c r="M39" s="363" t="n">
        <f aca="false">SUMPRODUCT((Projects!$G$2:$G$45="Yes")*(9&gt;=Projects!$C$2:$C$45-$B$15)*((9&lt;=Projects!$W$2:$W$45-$B$106)*1+(9&gt;Projects!$W$2:$W$45-$B$106)*(9&lt;=Projects!$W$2:$W$45+$B$17)*$B$107)*((Projects!$B$2:$B$45&gt;=$B$12)*$B$6+(Projects!$B$2:$B$45&lt;$B$12)*(Projects!$B$2:$B$45&gt;=$B$13)*$B$7+(Projects!$B$2:$B$45&lt;$B$13)*$B$8))</f>
        <v>2.2475</v>
      </c>
      <c r="N39" s="363" t="n">
        <f aca="false">SUMPRODUCT((Projects!$G$2:$G$45="Yes")*(10&gt;=Projects!$C$2:$C$45-$B$15)*((10&lt;=Projects!$W$2:$W$45-$B$106)*1+(10&gt;Projects!$W$2:$W$45-$B$106)*(10&lt;=Projects!$W$2:$W$45+$B$17)*$B$107)*((Projects!$B$2:$B$45&gt;=$B$12)*$B$6+(Projects!$B$2:$B$45&lt;$B$12)*(Projects!$B$2:$B$45&gt;=$B$13)*$B$7+(Projects!$B$2:$B$45&lt;$B$13)*$B$8))</f>
        <v>2.33</v>
      </c>
      <c r="O39" s="363" t="n">
        <f aca="false">SUMPRODUCT((Projects!$G$2:$G$45="Yes")*(11&gt;=Projects!$C$2:$C$45-$B$15)*((11&lt;=Projects!$W$2:$W$45-$B$106)*1+(11&gt;Projects!$W$2:$W$45-$B$106)*(11&lt;=Projects!$W$2:$W$45+$B$17)*$B$107)*((Projects!$B$2:$B$45&gt;=$B$12)*$B$6+(Projects!$B$2:$B$45&lt;$B$12)*(Projects!$B$2:$B$45&gt;=$B$13)*$B$7+(Projects!$B$2:$B$45&lt;$B$13)*$B$8))</f>
        <v>2.4125</v>
      </c>
      <c r="P39" s="363" t="n">
        <f aca="false">SUMPRODUCT((Projects!$G$2:$G$45="Yes")*(12&gt;=Projects!$C$2:$C$45-$B$15)*((12&lt;=Projects!$W$2:$W$45-$B$106)*1+(12&gt;Projects!$W$2:$W$45-$B$106)*(12&lt;=Projects!$W$2:$W$45+$B$17)*$B$107)*((Projects!$B$2:$B$45&gt;=$B$12)*$B$6+(Projects!$B$2:$B$45&lt;$B$12)*(Projects!$B$2:$B$45&gt;=$B$13)*$B$7+(Projects!$B$2:$B$45&lt;$B$13)*$B$8))</f>
        <v>2.4125</v>
      </c>
      <c r="Q39" s="363" t="n">
        <f aca="false">SUMPRODUCT((Projects!$G$2:$G$45="Yes")*(13&gt;=Projects!$C$2:$C$45-$B$15)*((13&lt;=Projects!$W$2:$W$45-$B$106)*1+(13&gt;Projects!$W$2:$W$45-$B$106)*(13&lt;=Projects!$W$2:$W$45+$B$17)*$B$107)*((Projects!$B$2:$B$45&gt;=$B$12)*$B$6+(Projects!$B$2:$B$45&lt;$B$12)*(Projects!$B$2:$B$45&gt;=$B$13)*$B$7+(Projects!$B$2:$B$45&lt;$B$13)*$B$8))</f>
        <v>2.2875</v>
      </c>
      <c r="R39" s="363" t="n">
        <f aca="false">SUMPRODUCT((Projects!$G$2:$G$45="Yes")*(14&gt;=Projects!$C$2:$C$45-$B$15)*((14&lt;=Projects!$W$2:$W$45-$B$106)*1+(14&gt;Projects!$W$2:$W$45-$B$106)*(14&lt;=Projects!$W$2:$W$45+$B$17)*$B$107)*((Projects!$B$2:$B$45&gt;=$B$12)*$B$6+(Projects!$B$2:$B$45&lt;$B$12)*(Projects!$B$2:$B$45&gt;=$B$13)*$B$7+(Projects!$B$2:$B$45&lt;$B$13)*$B$8))</f>
        <v>2.1625</v>
      </c>
      <c r="S39" s="363" t="n">
        <f aca="false">SUMPRODUCT((Projects!$G$2:$G$45="Yes")*(15&gt;=Projects!$C$2:$C$45-$B$15)*((15&lt;=Projects!$W$2:$W$45-$B$106)*1+(15&gt;Projects!$W$2:$W$45-$B$106)*(15&lt;=Projects!$W$2:$W$45+$B$17)*$B$107)*((Projects!$B$2:$B$45&gt;=$B$12)*$B$6+(Projects!$B$2:$B$45&lt;$B$12)*(Projects!$B$2:$B$45&gt;=$B$13)*$B$7+(Projects!$B$2:$B$45&lt;$B$13)*$B$8))</f>
        <v>2.7875</v>
      </c>
      <c r="T39" s="363" t="n">
        <f aca="false">SUMPRODUCT((Projects!$G$2:$G$45="Yes")*(16&gt;=Projects!$C$2:$C$45-$B$15)*((16&lt;=Projects!$W$2:$W$45-$B$106)*1+(16&gt;Projects!$W$2:$W$45-$B$106)*(16&lt;=Projects!$W$2:$W$45+$B$17)*$B$107)*((Projects!$B$2:$B$45&gt;=$B$12)*$B$6+(Projects!$B$2:$B$45&lt;$B$12)*(Projects!$B$2:$B$45&gt;=$B$13)*$B$7+(Projects!$B$2:$B$45&lt;$B$13)*$B$8))</f>
        <v>2.7875</v>
      </c>
      <c r="U39" s="363" t="n">
        <f aca="false">SUMPRODUCT((Projects!$G$2:$G$45="Yes")*(17&gt;=Projects!$C$2:$C$45-$B$15)*((17&lt;=Projects!$W$2:$W$45-$B$106)*1+(17&gt;Projects!$W$2:$W$45-$B$106)*(17&lt;=Projects!$W$2:$W$45+$B$17)*$B$107)*((Projects!$B$2:$B$45&gt;=$B$12)*$B$6+(Projects!$B$2:$B$45&lt;$B$12)*(Projects!$B$2:$B$45&gt;=$B$13)*$B$7+(Projects!$B$2:$B$45&lt;$B$13)*$B$8))</f>
        <v>2.705</v>
      </c>
      <c r="V39" s="363" t="n">
        <f aca="false">SUMPRODUCT((Projects!$G$2:$G$45="Yes")*(18&gt;=Projects!$C$2:$C$45-$B$15)*((18&lt;=Projects!$W$2:$W$45-$B$106)*1+(18&gt;Projects!$W$2:$W$45-$B$106)*(18&lt;=Projects!$W$2:$W$45+$B$17)*$B$107)*((Projects!$B$2:$B$45&gt;=$B$12)*$B$6+(Projects!$B$2:$B$45&lt;$B$12)*(Projects!$B$2:$B$45&gt;=$B$13)*$B$7+(Projects!$B$2:$B$45&lt;$B$13)*$B$8))</f>
        <v>2.705</v>
      </c>
      <c r="W39" s="363" t="n">
        <f aca="false">SUMPRODUCT((Projects!$G$2:$G$45="Yes")*(19&gt;=Projects!$C$2:$C$45-$B$15)*((19&lt;=Projects!$W$2:$W$45-$B$106)*1+(19&gt;Projects!$W$2:$W$45-$B$106)*(19&lt;=Projects!$W$2:$W$45+$B$17)*$B$107)*((Projects!$B$2:$B$45&gt;=$B$12)*$B$6+(Projects!$B$2:$B$45&lt;$B$12)*(Projects!$B$2:$B$45&gt;=$B$13)*$B$7+(Projects!$B$2:$B$45&lt;$B$13)*$B$8))</f>
        <v>2.455</v>
      </c>
      <c r="X39" s="363" t="n">
        <f aca="false">SUMPRODUCT((Projects!$G$2:$G$45="Yes")*(20&gt;=Projects!$C$2:$C$45-$B$15)*((20&lt;=Projects!$W$2:$W$45-$B$106)*1+(20&gt;Projects!$W$2:$W$45-$B$106)*(20&lt;=Projects!$W$2:$W$45+$B$17)*$B$107)*((Projects!$B$2:$B$45&gt;=$B$12)*$B$6+(Projects!$B$2:$B$45&lt;$B$12)*(Projects!$B$2:$B$45&gt;=$B$13)*$B$7+(Projects!$B$2:$B$45&lt;$B$13)*$B$8))</f>
        <v>2.205</v>
      </c>
      <c r="Y39" s="363" t="n">
        <f aca="false">SUMPRODUCT((Projects!$G$2:$G$45="Yes")*(21&gt;=Projects!$C$2:$C$45-$B$15)*((21&lt;=Projects!$W$2:$W$45-$B$106)*1+(21&gt;Projects!$W$2:$W$45-$B$106)*(21&lt;=Projects!$W$2:$W$45+$B$17)*$B$107)*((Projects!$B$2:$B$45&gt;=$B$12)*$B$6+(Projects!$B$2:$B$45&lt;$B$12)*(Projects!$B$2:$B$45&gt;=$B$13)*$B$7+(Projects!$B$2:$B$45&lt;$B$13)*$B$8))</f>
        <v>2.08</v>
      </c>
      <c r="Z39" s="363" t="n">
        <f aca="false">SUMPRODUCT((Projects!$G$2:$G$45="Yes")*(22&gt;=Projects!$C$2:$C$45-$B$15)*((22&lt;=Projects!$W$2:$W$45-$B$106)*1+(22&gt;Projects!$W$2:$W$45-$B$106)*(22&lt;=Projects!$W$2:$W$45+$B$17)*$B$107)*((Projects!$B$2:$B$45&gt;=$B$12)*$B$6+(Projects!$B$2:$B$45&lt;$B$12)*(Projects!$B$2:$B$45&gt;=$B$13)*$B$7+(Projects!$B$2:$B$45&lt;$B$13)*$B$8))</f>
        <v>2.08</v>
      </c>
      <c r="AA39" s="363" t="n">
        <f aca="false">SUMPRODUCT((Projects!$G$2:$G$45="Yes")*(23&gt;=Projects!$C$2:$C$45-$B$15)*((23&lt;=Projects!$W$2:$W$45-$B$106)*1+(23&gt;Projects!$W$2:$W$45-$B$106)*(23&lt;=Projects!$W$2:$W$45+$B$17)*$B$107)*((Projects!$B$2:$B$45&gt;=$B$12)*$B$6+(Projects!$B$2:$B$45&lt;$B$12)*(Projects!$B$2:$B$45&gt;=$B$13)*$B$7+(Projects!$B$2:$B$45&lt;$B$13)*$B$8))</f>
        <v>2.08</v>
      </c>
      <c r="AB39" s="363" t="n">
        <f aca="false">SUMPRODUCT((Projects!$G$2:$G$45="Yes")*(24&gt;=Projects!$C$2:$C$45-$B$15)*((24&lt;=Projects!$W$2:$W$45-$B$106)*1+(24&gt;Projects!$W$2:$W$45-$B$106)*(24&lt;=Projects!$W$2:$W$45+$B$17)*$B$107)*((Projects!$B$2:$B$45&gt;=$B$12)*$B$6+(Projects!$B$2:$B$45&lt;$B$12)*(Projects!$B$2:$B$45&gt;=$B$13)*$B$7+(Projects!$B$2:$B$45&lt;$B$13)*$B$8))</f>
        <v>1.8725</v>
      </c>
      <c r="AC39" s="363" t="n">
        <f aca="false">SUMPRODUCT((Projects!$G$2:$G$45="Yes")*(25&gt;=Projects!$C$2:$C$45-$B$15)*((25&lt;=Projects!$W$2:$W$45-$B$106)*1+(25&gt;Projects!$W$2:$W$45-$B$106)*(25&lt;=Projects!$W$2:$W$45+$B$17)*$B$107)*((Projects!$B$2:$B$45&gt;=$B$12)*$B$6+(Projects!$B$2:$B$45&lt;$B$12)*(Projects!$B$2:$B$45&gt;=$B$13)*$B$7+(Projects!$B$2:$B$45&lt;$B$13)*$B$8))</f>
        <v>1.665</v>
      </c>
      <c r="AD39" s="363" t="n">
        <f aca="false">SUMPRODUCT((Projects!$G$2:$G$45="Yes")*(26&gt;=Projects!$C$2:$C$45-$B$15)*((26&lt;=Projects!$W$2:$W$45-$B$106)*1+(26&gt;Projects!$W$2:$W$45-$B$106)*(26&lt;=Projects!$W$2:$W$45+$B$17)*$B$107)*((Projects!$B$2:$B$45&gt;=$B$12)*$B$6+(Projects!$B$2:$B$45&lt;$B$12)*(Projects!$B$2:$B$45&gt;=$B$13)*$B$7+(Projects!$B$2:$B$45&lt;$B$13)*$B$8))</f>
        <v>1.54</v>
      </c>
      <c r="AE39" s="363" t="n">
        <f aca="false">SUMPRODUCT((Projects!$G$2:$G$45="Yes")*(27&gt;=Projects!$C$2:$C$45-$B$15)*((27&lt;=Projects!$W$2:$W$45-$B$106)*1+(27&gt;Projects!$W$2:$W$45-$B$106)*(27&lt;=Projects!$W$2:$W$45+$B$17)*$B$107)*((Projects!$B$2:$B$45&gt;=$B$12)*$B$6+(Projects!$B$2:$B$45&lt;$B$12)*(Projects!$B$2:$B$45&gt;=$B$13)*$B$7+(Projects!$B$2:$B$45&lt;$B$13)*$B$8))</f>
        <v>1.54</v>
      </c>
      <c r="AF39" s="363" t="n">
        <f aca="false">SUMPRODUCT((Projects!$G$2:$G$45="Yes")*(28&gt;=Projects!$C$2:$C$45-$B$15)*((28&lt;=Projects!$W$2:$W$45-$B$106)*1+(28&gt;Projects!$W$2:$W$45-$B$106)*(28&lt;=Projects!$W$2:$W$45+$B$17)*$B$107)*((Projects!$B$2:$B$45&gt;=$B$12)*$B$6+(Projects!$B$2:$B$45&lt;$B$12)*(Projects!$B$2:$B$45&gt;=$B$13)*$B$7+(Projects!$B$2:$B$45&lt;$B$13)*$B$8))</f>
        <v>1.54</v>
      </c>
      <c r="AG39" s="363" t="n">
        <f aca="false">SUMPRODUCT((Projects!$G$2:$G$45="Yes")*(29&gt;=Projects!$C$2:$C$45-$B$15)*((29&lt;=Projects!$W$2:$W$45-$B$106)*1+(29&gt;Projects!$W$2:$W$45-$B$106)*(29&lt;=Projects!$W$2:$W$45+$B$17)*$B$107)*((Projects!$B$2:$B$45&gt;=$B$12)*$B$6+(Projects!$B$2:$B$45&lt;$B$12)*(Projects!$B$2:$B$45&gt;=$B$13)*$B$7+(Projects!$B$2:$B$45&lt;$B$13)*$B$8))</f>
        <v>1.54</v>
      </c>
      <c r="AH39" s="363" t="n">
        <f aca="false">SUMPRODUCT((Projects!$G$2:$G$45="Yes")*(30&gt;=Projects!$C$2:$C$45-$B$15)*((30&lt;=Projects!$W$2:$W$45-$B$106)*1+(30&gt;Projects!$W$2:$W$45-$B$106)*(30&lt;=Projects!$W$2:$W$45+$B$17)*$B$107)*((Projects!$B$2:$B$45&gt;=$B$12)*$B$6+(Projects!$B$2:$B$45&lt;$B$12)*(Projects!$B$2:$B$45&gt;=$B$13)*$B$7+(Projects!$B$2:$B$45&lt;$B$13)*$B$8))</f>
        <v>1.3325</v>
      </c>
      <c r="AI39" s="363" t="n">
        <f aca="false">SUMPRODUCT((Projects!$G$2:$G$45="Yes")*(31&gt;=Projects!$C$2:$C$45-$B$15)*((31&lt;=Projects!$W$2:$W$45-$B$106)*1+(31&gt;Projects!$W$2:$W$45-$B$106)*(31&lt;=Projects!$W$2:$W$45+$B$17)*$B$107)*((Projects!$B$2:$B$45&gt;=$B$12)*$B$6+(Projects!$B$2:$B$45&lt;$B$12)*(Projects!$B$2:$B$45&gt;=$B$13)*$B$7+(Projects!$B$2:$B$45&lt;$B$13)*$B$8))</f>
        <v>1.25</v>
      </c>
      <c r="AJ39" s="363" t="n">
        <f aca="false">SUMPRODUCT((Projects!$G$2:$G$45="Yes")*(32&gt;=Projects!$C$2:$C$45-$B$15)*((32&lt;=Projects!$W$2:$W$45-$B$106)*1+(32&gt;Projects!$W$2:$W$45-$B$106)*(32&lt;=Projects!$W$2:$W$45+$B$17)*$B$107)*((Projects!$B$2:$B$45&gt;=$B$12)*$B$6+(Projects!$B$2:$B$45&lt;$B$12)*(Projects!$B$2:$B$45&gt;=$B$13)*$B$7+(Projects!$B$2:$B$45&lt;$B$13)*$B$8))</f>
        <v>1</v>
      </c>
      <c r="AK39" s="363" t="n">
        <f aca="false">SUMPRODUCT((Projects!$G$2:$G$45="Yes")*(33&gt;=Projects!$C$2:$C$45-$B$15)*((33&lt;=Projects!$W$2:$W$45-$B$106)*1+(33&gt;Projects!$W$2:$W$45-$B$106)*(33&lt;=Projects!$W$2:$W$45+$B$17)*$B$107)*((Projects!$B$2:$B$45&gt;=$B$12)*$B$6+(Projects!$B$2:$B$45&lt;$B$12)*(Projects!$B$2:$B$45&gt;=$B$13)*$B$7+(Projects!$B$2:$B$45&lt;$B$13)*$B$8))</f>
        <v>1</v>
      </c>
      <c r="AL39" s="363" t="n">
        <f aca="false">SUMPRODUCT((Projects!$G$2:$G$45="Yes")*(34&gt;=Projects!$C$2:$C$45-$B$15)*((34&lt;=Projects!$W$2:$W$45-$B$106)*1+(34&gt;Projects!$W$2:$W$45-$B$106)*(34&lt;=Projects!$W$2:$W$45+$B$17)*$B$107)*((Projects!$B$2:$B$45&gt;=$B$12)*$B$6+(Projects!$B$2:$B$45&lt;$B$12)*(Projects!$B$2:$B$45&gt;=$B$13)*$B$7+(Projects!$B$2:$B$45&lt;$B$13)*$B$8))</f>
        <v>0.875</v>
      </c>
      <c r="AM39" s="363" t="n">
        <f aca="false">SUMPRODUCT((Projects!$G$2:$G$45="Yes")*(35&gt;=Projects!$C$2:$C$45-$B$15)*((35&lt;=Projects!$W$2:$W$45-$B$106)*1+(35&gt;Projects!$W$2:$W$45-$B$106)*(35&lt;=Projects!$W$2:$W$45+$B$17)*$B$107)*((Projects!$B$2:$B$45&gt;=$B$12)*$B$6+(Projects!$B$2:$B$45&lt;$B$12)*(Projects!$B$2:$B$45&gt;=$B$13)*$B$7+(Projects!$B$2:$B$45&lt;$B$13)*$B$8))</f>
        <v>0.875</v>
      </c>
      <c r="AN39" s="363" t="n">
        <f aca="false">SUMPRODUCT((Projects!$G$2:$G$45="Yes")*(36&gt;=Projects!$C$2:$C$45-$B$15)*((36&lt;=Projects!$W$2:$W$45-$B$106)*1+(36&gt;Projects!$W$2:$W$45-$B$106)*(36&lt;=Projects!$W$2:$W$45+$B$17)*$B$107)*((Projects!$B$2:$B$45&gt;=$B$12)*$B$6+(Projects!$B$2:$B$45&lt;$B$12)*(Projects!$B$2:$B$45&gt;=$B$13)*$B$7+(Projects!$B$2:$B$45&lt;$B$13)*$B$8))</f>
        <v>0.875</v>
      </c>
      <c r="AO39" s="363" t="n">
        <f aca="false">SUMPRODUCT((Projects!$G$2:$G$45="Yes")*(37&gt;=Projects!$C$2:$C$45-$B$15)*((37&lt;=Projects!$W$2:$W$45-$B$106)*1+(37&gt;Projects!$W$2:$W$45-$B$106)*(37&lt;=Projects!$W$2:$W$45+$B$17)*$B$107)*((Projects!$B$2:$B$45&gt;=$B$12)*$B$6+(Projects!$B$2:$B$45&lt;$B$12)*(Projects!$B$2:$B$45&gt;=$B$13)*$B$7+(Projects!$B$2:$B$45&lt;$B$13)*$B$8))</f>
        <v>0.875</v>
      </c>
      <c r="AP39" s="363" t="n">
        <f aca="false">SUMPRODUCT((Projects!$G$2:$G$45="Yes")*(38&gt;=Projects!$C$2:$C$45-$B$15)*((38&lt;=Projects!$W$2:$W$45-$B$106)*1+(38&gt;Projects!$W$2:$W$45-$B$106)*(38&lt;=Projects!$W$2:$W$45+$B$17)*$B$107)*((Projects!$B$2:$B$45&gt;=$B$12)*$B$6+(Projects!$B$2:$B$45&lt;$B$12)*(Projects!$B$2:$B$45&gt;=$B$13)*$B$7+(Projects!$B$2:$B$45&lt;$B$13)*$B$8))</f>
        <v>0.625</v>
      </c>
      <c r="AQ39" s="363" t="n">
        <f aca="false">SUMPRODUCT((Projects!$G$2:$G$45="Yes")*(39&gt;=Projects!$C$2:$C$45-$B$15)*((39&lt;=Projects!$W$2:$W$45-$B$106)*1+(39&gt;Projects!$W$2:$W$45-$B$106)*(39&lt;=Projects!$W$2:$W$45+$B$17)*$B$107)*((Projects!$B$2:$B$45&gt;=$B$12)*$B$6+(Projects!$B$2:$B$45&lt;$B$12)*(Projects!$B$2:$B$45&gt;=$B$13)*$B$7+(Projects!$B$2:$B$45&lt;$B$13)*$B$8))</f>
        <v>0.625</v>
      </c>
      <c r="AR39" s="363" t="n">
        <f aca="false">SUMPRODUCT((Projects!$G$2:$G$45="Yes")*(40&gt;=Projects!$C$2:$C$45-$B$15)*((40&lt;=Projects!$W$2:$W$45-$B$106)*1+(40&gt;Projects!$W$2:$W$45-$B$106)*(40&lt;=Projects!$W$2:$W$45+$B$17)*$B$107)*((Projects!$B$2:$B$45&gt;=$B$12)*$B$6+(Projects!$B$2:$B$45&lt;$B$12)*(Projects!$B$2:$B$45&gt;=$B$13)*$B$7+(Projects!$B$2:$B$45&lt;$B$13)*$B$8))</f>
        <v>0.25</v>
      </c>
      <c r="AS39" s="363" t="n">
        <f aca="false">SUMPRODUCT((Projects!$G$2:$G$45="Yes")*(41&gt;=Projects!$C$2:$C$45-$B$15)*((41&lt;=Projects!$W$2:$W$45-$B$106)*1+(41&gt;Projects!$W$2:$W$45-$B$106)*(41&lt;=Projects!$W$2:$W$45+$B$17)*$B$107)*((Projects!$B$2:$B$45&gt;=$B$12)*$B$6+(Projects!$B$2:$B$45&lt;$B$12)*(Projects!$B$2:$B$45&gt;=$B$13)*$B$7+(Projects!$B$2:$B$45&lt;$B$13)*$B$8))</f>
        <v>0.25</v>
      </c>
      <c r="AT39" s="363" t="n">
        <f aca="false">SUMPRODUCT((Projects!$G$2:$G$45="Yes")*(42&gt;=Projects!$C$2:$C$45-$B$15)*((42&lt;=Projects!$W$2:$W$45-$B$106)*1+(42&gt;Projects!$W$2:$W$45-$B$106)*(42&lt;=Projects!$W$2:$W$45+$B$17)*$B$107)*((Projects!$B$2:$B$45&gt;=$B$12)*$B$6+(Projects!$B$2:$B$45&lt;$B$12)*(Projects!$B$2:$B$45&gt;=$B$13)*$B$7+(Projects!$B$2:$B$45&lt;$B$13)*$B$8))</f>
        <v>0.25</v>
      </c>
      <c r="AU39" s="363" t="n">
        <f aca="false">SUMPRODUCT((Projects!$G$2:$G$45="Yes")*(43&gt;=Projects!$C$2:$C$45-$B$15)*((43&lt;=Projects!$W$2:$W$45-$B$106)*1+(43&gt;Projects!$W$2:$W$45-$B$106)*(43&lt;=Projects!$W$2:$W$45+$B$17)*$B$107)*((Projects!$B$2:$B$45&gt;=$B$12)*$B$6+(Projects!$B$2:$B$45&lt;$B$12)*(Projects!$B$2:$B$45&gt;=$B$13)*$B$7+(Projects!$B$2:$B$45&lt;$B$13)*$B$8))</f>
        <v>0.25</v>
      </c>
      <c r="AV39" s="363" t="n">
        <f aca="false">SUMPRODUCT((Projects!$G$2:$G$45="Yes")*(44&gt;=Projects!$C$2:$C$45-$B$15)*((44&lt;=Projects!$W$2:$W$45-$B$106)*1+(44&gt;Projects!$W$2:$W$45-$B$106)*(44&lt;=Projects!$W$2:$W$45+$B$17)*$B$107)*((Projects!$B$2:$B$45&gt;=$B$12)*$B$6+(Projects!$B$2:$B$45&lt;$B$12)*(Projects!$B$2:$B$45&gt;=$B$13)*$B$7+(Projects!$B$2:$B$45&lt;$B$13)*$B$8))</f>
        <v>0.25</v>
      </c>
      <c r="AW39" s="363" t="n">
        <f aca="false">SUMPRODUCT((Projects!$G$2:$G$45="Yes")*(45&gt;=Projects!$C$2:$C$45-$B$15)*((45&lt;=Projects!$W$2:$W$45-$B$106)*1+(45&gt;Projects!$W$2:$W$45-$B$106)*(45&lt;=Projects!$W$2:$W$45+$B$17)*$B$107)*((Projects!$B$2:$B$45&gt;=$B$12)*$B$6+(Projects!$B$2:$B$45&lt;$B$12)*(Projects!$B$2:$B$45&gt;=$B$13)*$B$7+(Projects!$B$2:$B$45&lt;$B$13)*$B$8))</f>
        <v>0.25</v>
      </c>
      <c r="AX39" s="363" t="n">
        <f aca="false">SUMPRODUCT((Projects!$G$2:$G$45="Yes")*(46&gt;=Projects!$C$2:$C$45-$B$15)*((46&lt;=Projects!$W$2:$W$45-$B$106)*1+(46&gt;Projects!$W$2:$W$45-$B$106)*(46&lt;=Projects!$W$2:$W$45+$B$17)*$B$107)*((Projects!$B$2:$B$45&gt;=$B$12)*$B$6+(Projects!$B$2:$B$45&lt;$B$12)*(Projects!$B$2:$B$45&gt;=$B$13)*$B$7+(Projects!$B$2:$B$45&lt;$B$13)*$B$8))</f>
        <v>0</v>
      </c>
      <c r="AY39" s="363" t="n">
        <f aca="false">SUMPRODUCT((Projects!$G$2:$G$45="Yes")*(47&gt;=Projects!$C$2:$C$45-$B$15)*((47&lt;=Projects!$W$2:$W$45-$B$106)*1+(47&gt;Projects!$W$2:$W$45-$B$106)*(47&lt;=Projects!$W$2:$W$45+$B$17)*$B$107)*((Projects!$B$2:$B$45&gt;=$B$12)*$B$6+(Projects!$B$2:$B$45&lt;$B$12)*(Projects!$B$2:$B$45&gt;=$B$13)*$B$7+(Projects!$B$2:$B$45&lt;$B$13)*$B$8))</f>
        <v>0</v>
      </c>
      <c r="AZ39" s="363" t="n">
        <f aca="false">SUMPRODUCT((Projects!$G$2:$G$45="Yes")*(48&gt;=Projects!$C$2:$C$45-$B$15)*((48&lt;=Projects!$W$2:$W$45-$B$106)*1+(48&gt;Projects!$W$2:$W$45-$B$106)*(48&lt;=Projects!$W$2:$W$45+$B$17)*$B$107)*((Projects!$B$2:$B$45&gt;=$B$12)*$B$6+(Projects!$B$2:$B$45&lt;$B$12)*(Projects!$B$2:$B$45&gt;=$B$13)*$B$7+(Projects!$B$2:$B$45&lt;$B$13)*$B$8))</f>
        <v>0</v>
      </c>
      <c r="BA39" s="363" t="n">
        <f aca="false">SUMPRODUCT((Projects!$G$2:$G$45="Yes")*(49&gt;=Projects!$C$2:$C$45-$B$15)*((49&lt;=Projects!$W$2:$W$45-$B$106)*1+(49&gt;Projects!$W$2:$W$45-$B$106)*(49&lt;=Projects!$W$2:$W$45+$B$17)*$B$107)*((Projects!$B$2:$B$45&gt;=$B$12)*$B$6+(Projects!$B$2:$B$45&lt;$B$12)*(Projects!$B$2:$B$45&gt;=$B$13)*$B$7+(Projects!$B$2:$B$45&lt;$B$13)*$B$8))</f>
        <v>0</v>
      </c>
      <c r="BB39" s="363" t="n">
        <f aca="false">SUMPRODUCT((Projects!$G$2:$G$45="Yes")*(50&gt;=Projects!$C$2:$C$45-$B$15)*((50&lt;=Projects!$W$2:$W$45-$B$106)*1+(50&gt;Projects!$W$2:$W$45-$B$106)*(50&lt;=Projects!$W$2:$W$45+$B$17)*$B$107)*((Projects!$B$2:$B$45&gt;=$B$12)*$B$6+(Projects!$B$2:$B$45&lt;$B$12)*(Projects!$B$2:$B$45&gt;=$B$13)*$B$7+(Projects!$B$2:$B$45&lt;$B$13)*$B$8))</f>
        <v>0</v>
      </c>
      <c r="BC39" s="363" t="n">
        <f aca="false">SUMPRODUCT((Projects!$G$2:$G$45="Yes")*(51&gt;=Projects!$C$2:$C$45-$B$15)*((51&lt;=Projects!$W$2:$W$45-$B$106)*1+(51&gt;Projects!$W$2:$W$45-$B$106)*(51&lt;=Projects!$W$2:$W$45+$B$17)*$B$107)*((Projects!$B$2:$B$45&gt;=$B$12)*$B$6+(Projects!$B$2:$B$45&lt;$B$12)*(Projects!$B$2:$B$45&gt;=$B$13)*$B$7+(Projects!$B$2:$B$45&lt;$B$13)*$B$8))</f>
        <v>0</v>
      </c>
      <c r="BD39" s="363" t="n">
        <f aca="false">SUMPRODUCT((Projects!$G$2:$G$45="Yes")*(52&gt;=Projects!$C$2:$C$45-$B$15)*((52&lt;=Projects!$W$2:$W$45-$B$106)*1+(52&gt;Projects!$W$2:$W$45-$B$106)*(52&lt;=Projects!$W$2:$W$45+$B$17)*$B$107)*((Projects!$B$2:$B$45&gt;=$B$12)*$B$6+(Projects!$B$2:$B$45&lt;$B$12)*(Projects!$B$2:$B$45&gt;=$B$13)*$B$7+(Projects!$B$2:$B$45&lt;$B$13)*$B$8))</f>
        <v>0</v>
      </c>
      <c r="BE39" s="363" t="n">
        <f aca="false">SUMPRODUCT((Projects!$G$2:$G$45="Yes")*(53&gt;=Projects!$C$2:$C$45-$B$15)*((53&lt;=Projects!$W$2:$W$45-$B$106)*1+(53&gt;Projects!$W$2:$W$45-$B$106)*(53&lt;=Projects!$W$2:$W$45+$B$17)*$B$107)*((Projects!$B$2:$B$45&gt;=$B$12)*$B$6+(Projects!$B$2:$B$45&lt;$B$12)*(Projects!$B$2:$B$45&gt;=$B$13)*$B$7+(Projects!$B$2:$B$45&lt;$B$13)*$B$8))</f>
        <v>0</v>
      </c>
      <c r="BF39" s="363" t="n">
        <f aca="false">SUMPRODUCT((Projects!$G$2:$G$45="Yes")*(54&gt;=Projects!$C$2:$C$45-$B$15)*((54&lt;=Projects!$W$2:$W$45-$B$106)*1+(54&gt;Projects!$W$2:$W$45-$B$106)*(54&lt;=Projects!$W$2:$W$45+$B$17)*$B$107)*((Projects!$B$2:$B$45&gt;=$B$12)*$B$6+(Projects!$B$2:$B$45&lt;$B$12)*(Projects!$B$2:$B$45&gt;=$B$13)*$B$7+(Projects!$B$2:$B$45&lt;$B$13)*$B$8))</f>
        <v>0</v>
      </c>
      <c r="BG39" s="363" t="n">
        <f aca="false">SUMPRODUCT((Projects!$G$2:$G$45="Yes")*(55&gt;=Projects!$C$2:$C$45-$B$15)*((55&lt;=Projects!$W$2:$W$45-$B$106)*1+(55&gt;Projects!$W$2:$W$45-$B$106)*(55&lt;=Projects!$W$2:$W$45+$B$17)*$B$107)*((Projects!$B$2:$B$45&gt;=$B$12)*$B$6+(Projects!$B$2:$B$45&lt;$B$12)*(Projects!$B$2:$B$45&gt;=$B$13)*$B$7+(Projects!$B$2:$B$45&lt;$B$13)*$B$8))</f>
        <v>0</v>
      </c>
      <c r="BH39" s="363" t="n">
        <f aca="false">SUMPRODUCT((Projects!$G$2:$G$45="Yes")*(56&gt;=Projects!$C$2:$C$45-$B$15)*((56&lt;=Projects!$W$2:$W$45-$B$106)*1+(56&gt;Projects!$W$2:$W$45-$B$106)*(56&lt;=Projects!$W$2:$W$45+$B$17)*$B$107)*((Projects!$B$2:$B$45&gt;=$B$12)*$B$6+(Projects!$B$2:$B$45&lt;$B$12)*(Projects!$B$2:$B$45&gt;=$B$13)*$B$7+(Projects!$B$2:$B$45&lt;$B$13)*$B$8))</f>
        <v>0</v>
      </c>
      <c r="BI39" s="363" t="n">
        <f aca="false">SUMPRODUCT((Projects!$G$2:$G$45="Yes")*(57&gt;=Projects!$C$2:$C$45-$B$15)*((57&lt;=Projects!$W$2:$W$45-$B$106)*1+(57&gt;Projects!$W$2:$W$45-$B$106)*(57&lt;=Projects!$W$2:$W$45+$B$17)*$B$107)*((Projects!$B$2:$B$45&gt;=$B$12)*$B$6+(Projects!$B$2:$B$45&lt;$B$12)*(Projects!$B$2:$B$45&gt;=$B$13)*$B$7+(Projects!$B$2:$B$45&lt;$B$13)*$B$8))</f>
        <v>0</v>
      </c>
      <c r="BJ39" s="363" t="n">
        <f aca="false">SUMPRODUCT((Projects!$G$2:$G$45="Yes")*(58&gt;=Projects!$C$2:$C$45-$B$15)*((58&lt;=Projects!$W$2:$W$45-$B$106)*1+(58&gt;Projects!$W$2:$W$45-$B$106)*(58&lt;=Projects!$W$2:$W$45+$B$17)*$B$107)*((Projects!$B$2:$B$45&gt;=$B$12)*$B$6+(Projects!$B$2:$B$45&lt;$B$12)*(Projects!$B$2:$B$45&gt;=$B$13)*$B$7+(Projects!$B$2:$B$45&lt;$B$13)*$B$8))</f>
        <v>0</v>
      </c>
      <c r="BK39" s="363" t="n">
        <f aca="false">SUMPRODUCT((Projects!$G$2:$G$45="Yes")*(59&gt;=Projects!$C$2:$C$45-$B$15)*((59&lt;=Projects!$W$2:$W$45-$B$106)*1+(59&gt;Projects!$W$2:$W$45-$B$106)*(59&lt;=Projects!$W$2:$W$45+$B$17)*$B$107)*((Projects!$B$2:$B$45&gt;=$B$12)*$B$6+(Projects!$B$2:$B$45&lt;$B$12)*(Projects!$B$2:$B$45&gt;=$B$13)*$B$7+(Projects!$B$2:$B$45&lt;$B$13)*$B$8))</f>
        <v>0</v>
      </c>
      <c r="BL39" s="363" t="n">
        <f aca="false">SUMPRODUCT((Projects!$G$2:$G$45="Yes")*(60&gt;=Projects!$C$2:$C$45-$B$15)*((60&lt;=Projects!$W$2:$W$45-$B$106)*1+(60&gt;Projects!$W$2:$W$45-$B$106)*(60&lt;=Projects!$W$2:$W$45+$B$17)*$B$107)*((Projects!$B$2:$B$45&gt;=$B$12)*$B$6+(Projects!$B$2:$B$45&lt;$B$12)*(Projects!$B$2:$B$45&gt;=$B$13)*$B$7+(Projects!$B$2:$B$45&lt;$B$13)*$B$8))</f>
        <v>0</v>
      </c>
      <c r="BM39" s="363" t="n">
        <f aca="false">SUMPRODUCT((Projects!$G$2:$G$45="Yes")*(61&gt;=Projects!$C$2:$C$45-$B$15)*((61&lt;=Projects!$W$2:$W$45-$B$106)*1+(61&gt;Projects!$W$2:$W$45-$B$106)*(61&lt;=Projects!$W$2:$W$45+$B$17)*$B$107)*((Projects!$B$2:$B$45&gt;=$B$12)*$B$6+(Projects!$B$2:$B$45&lt;$B$12)*(Projects!$B$2:$B$45&gt;=$B$13)*$B$7+(Projects!$B$2:$B$45&lt;$B$13)*$B$8))</f>
        <v>0</v>
      </c>
      <c r="BN39" s="363" t="n">
        <f aca="false">SUMPRODUCT((Projects!$G$2:$G$45="Yes")*(62&gt;=Projects!$C$2:$C$45-$B$15)*((62&lt;=Projects!$W$2:$W$45-$B$106)*1+(62&gt;Projects!$W$2:$W$45-$B$106)*(62&lt;=Projects!$W$2:$W$45+$B$17)*$B$107)*((Projects!$B$2:$B$45&gt;=$B$12)*$B$6+(Projects!$B$2:$B$45&lt;$B$12)*(Projects!$B$2:$B$45&gt;=$B$13)*$B$7+(Projects!$B$2:$B$45&lt;$B$13)*$B$8))</f>
        <v>0</v>
      </c>
      <c r="BO39" s="363" t="n">
        <f aca="false">SUMPRODUCT((Projects!$G$2:$G$45="Yes")*(63&gt;=Projects!$C$2:$C$45-$B$15)*((63&lt;=Projects!$W$2:$W$45-$B$106)*1+(63&gt;Projects!$W$2:$W$45-$B$106)*(63&lt;=Projects!$W$2:$W$45+$B$17)*$B$107)*((Projects!$B$2:$B$45&gt;=$B$12)*$B$6+(Projects!$B$2:$B$45&lt;$B$12)*(Projects!$B$2:$B$45&gt;=$B$13)*$B$7+(Projects!$B$2:$B$45&lt;$B$13)*$B$8))</f>
        <v>0</v>
      </c>
      <c r="BP39" s="363" t="n">
        <f aca="false">SUMPRODUCT((Projects!$G$2:$G$45="Yes")*(64&gt;=Projects!$C$2:$C$45-$B$15)*((64&lt;=Projects!$W$2:$W$45-$B$106)*1+(64&gt;Projects!$W$2:$W$45-$B$106)*(64&lt;=Projects!$W$2:$W$45+$B$17)*$B$107)*((Projects!$B$2:$B$45&gt;=$B$12)*$B$6+(Projects!$B$2:$B$45&lt;$B$12)*(Projects!$B$2:$B$45&gt;=$B$13)*$B$7+(Projects!$B$2:$B$45&lt;$B$13)*$B$8))</f>
        <v>0</v>
      </c>
      <c r="BQ39" s="363" t="n">
        <f aca="false">SUMPRODUCT((Projects!$G$2:$G$45="Yes")*(65&gt;=Projects!$C$2:$C$45-$B$15)*((65&lt;=Projects!$W$2:$W$45-$B$106)*1+(65&gt;Projects!$W$2:$W$45-$B$106)*(65&lt;=Projects!$W$2:$W$45+$B$17)*$B$107)*((Projects!$B$2:$B$45&gt;=$B$12)*$B$6+(Projects!$B$2:$B$45&lt;$B$12)*(Projects!$B$2:$B$45&gt;=$B$13)*$B$7+(Projects!$B$2:$B$45&lt;$B$13)*$B$8))</f>
        <v>0</v>
      </c>
      <c r="BR39" s="363" t="n">
        <f aca="false">SUMPRODUCT((Projects!$G$2:$G$45="Yes")*(66&gt;=Projects!$C$2:$C$45-$B$15)*((66&lt;=Projects!$W$2:$W$45-$B$106)*1+(66&gt;Projects!$W$2:$W$45-$B$106)*(66&lt;=Projects!$W$2:$W$45+$B$17)*$B$107)*((Projects!$B$2:$B$45&gt;=$B$12)*$B$6+(Projects!$B$2:$B$45&lt;$B$12)*(Projects!$B$2:$B$45&gt;=$B$13)*$B$7+(Projects!$B$2:$B$45&lt;$B$13)*$B$8))</f>
        <v>0</v>
      </c>
      <c r="BS39" s="363" t="n">
        <f aca="false">SUMPRODUCT((Projects!$G$2:$G$45="Yes")*(67&gt;=Projects!$C$2:$C$45-$B$15)*((67&lt;=Projects!$W$2:$W$45-$B$106)*1+(67&gt;Projects!$W$2:$W$45-$B$106)*(67&lt;=Projects!$W$2:$W$45+$B$17)*$B$107)*((Projects!$B$2:$B$45&gt;=$B$12)*$B$6+(Projects!$B$2:$B$45&lt;$B$12)*(Projects!$B$2:$B$45&gt;=$B$13)*$B$7+(Projects!$B$2:$B$45&lt;$B$13)*$B$8))</f>
        <v>0</v>
      </c>
      <c r="BT39" s="363" t="n">
        <f aca="false">SUMPRODUCT((Projects!$G$2:$G$45="Yes")*(68&gt;=Projects!$C$2:$C$45-$B$15)*((68&lt;=Projects!$W$2:$W$45-$B$106)*1+(68&gt;Projects!$W$2:$W$45-$B$106)*(68&lt;=Projects!$W$2:$W$45+$B$17)*$B$107)*((Projects!$B$2:$B$45&gt;=$B$12)*$B$6+(Projects!$B$2:$B$45&lt;$B$12)*(Projects!$B$2:$B$45&gt;=$B$13)*$B$7+(Projects!$B$2:$B$45&lt;$B$13)*$B$8))</f>
        <v>0</v>
      </c>
      <c r="BU39" s="363" t="n">
        <f aca="false">SUMPRODUCT((Projects!$G$2:$G$45="Yes")*(69&gt;=Projects!$C$2:$C$45-$B$15)*((69&lt;=Projects!$W$2:$W$45-$B$106)*1+(69&gt;Projects!$W$2:$W$45-$B$106)*(69&lt;=Projects!$W$2:$W$45+$B$17)*$B$107)*((Projects!$B$2:$B$45&gt;=$B$12)*$B$6+(Projects!$B$2:$B$45&lt;$B$12)*(Projects!$B$2:$B$45&gt;=$B$13)*$B$7+(Projects!$B$2:$B$45&lt;$B$13)*$B$8))</f>
        <v>0</v>
      </c>
      <c r="BV39" s="363" t="n">
        <f aca="false">SUMPRODUCT((Projects!$G$2:$G$45="Yes")*(70&gt;=Projects!$C$2:$C$45-$B$15)*((70&lt;=Projects!$W$2:$W$45-$B$106)*1+(70&gt;Projects!$W$2:$W$45-$B$106)*(70&lt;=Projects!$W$2:$W$45+$B$17)*$B$107)*((Projects!$B$2:$B$45&gt;=$B$12)*$B$6+(Projects!$B$2:$B$45&lt;$B$12)*(Projects!$B$2:$B$45&gt;=$B$13)*$B$7+(Projects!$B$2:$B$45&lt;$B$13)*$B$8))</f>
        <v>0</v>
      </c>
      <c r="BW39" s="363" t="n">
        <f aca="false">SUMPRODUCT((Projects!$G$2:$G$45="Yes")*(71&gt;=Projects!$C$2:$C$45-$B$15)*((71&lt;=Projects!$W$2:$W$45-$B$106)*1+(71&gt;Projects!$W$2:$W$45-$B$106)*(71&lt;=Projects!$W$2:$W$45+$B$17)*$B$107)*((Projects!$B$2:$B$45&gt;=$B$12)*$B$6+(Projects!$B$2:$B$45&lt;$B$12)*(Projects!$B$2:$B$45&gt;=$B$13)*$B$7+(Projects!$B$2:$B$45&lt;$B$13)*$B$8))</f>
        <v>0</v>
      </c>
      <c r="BX39" s="363" t="n">
        <f aca="false">SUMPRODUCT((Projects!$G$2:$G$45="Yes")*(72&gt;=Projects!$C$2:$C$45-$B$15)*((72&lt;=Projects!$W$2:$W$45-$B$106)*1+(72&gt;Projects!$W$2:$W$45-$B$106)*(72&lt;=Projects!$W$2:$W$45+$B$17)*$B$107)*((Projects!$B$2:$B$45&gt;=$B$12)*$B$6+(Projects!$B$2:$B$45&lt;$B$12)*(Projects!$B$2:$B$45&gt;=$B$13)*$B$7+(Projects!$B$2:$B$45&lt;$B$13)*$B$8))</f>
        <v>0</v>
      </c>
      <c r="BY39" s="363" t="n">
        <f aca="false">SUMPRODUCT((Projects!$G$2:$G$45="Yes")*(73&gt;=Projects!$C$2:$C$45-$B$15)*((73&lt;=Projects!$W$2:$W$45-$B$106)*1+(73&gt;Projects!$W$2:$W$45-$B$106)*(73&lt;=Projects!$W$2:$W$45+$B$17)*$B$107)*((Projects!$B$2:$B$45&gt;=$B$12)*$B$6+(Projects!$B$2:$B$45&lt;$B$12)*(Projects!$B$2:$B$45&gt;=$B$13)*$B$7+(Projects!$B$2:$B$45&lt;$B$13)*$B$8))</f>
        <v>0</v>
      </c>
      <c r="BZ39" s="363" t="n">
        <f aca="false">SUMPRODUCT((Projects!$G$2:$G$45="Yes")*(74&gt;=Projects!$C$2:$C$45-$B$15)*((74&lt;=Projects!$W$2:$W$45-$B$106)*1+(74&gt;Projects!$W$2:$W$45-$B$106)*(74&lt;=Projects!$W$2:$W$45+$B$17)*$B$107)*((Projects!$B$2:$B$45&gt;=$B$12)*$B$6+(Projects!$B$2:$B$45&lt;$B$12)*(Projects!$B$2:$B$45&gt;=$B$13)*$B$7+(Projects!$B$2:$B$45&lt;$B$13)*$B$8))</f>
        <v>0</v>
      </c>
      <c r="CA39" s="363" t="n">
        <f aca="false">SUMPRODUCT((Projects!$G$2:$G$45="Yes")*(75&gt;=Projects!$C$2:$C$45-$B$15)*((75&lt;=Projects!$W$2:$W$45-$B$106)*1+(75&gt;Projects!$W$2:$W$45-$B$106)*(75&lt;=Projects!$W$2:$W$45+$B$17)*$B$107)*((Projects!$B$2:$B$45&gt;=$B$12)*$B$6+(Projects!$B$2:$B$45&lt;$B$12)*(Projects!$B$2:$B$45&gt;=$B$13)*$B$7+(Projects!$B$2:$B$45&lt;$B$13)*$B$8))</f>
        <v>0</v>
      </c>
      <c r="CB39" s="363" t="n">
        <f aca="false">SUMPRODUCT((Projects!$G$2:$G$45="Yes")*(76&gt;=Projects!$C$2:$C$45-$B$15)*((76&lt;=Projects!$W$2:$W$45-$B$106)*1+(76&gt;Projects!$W$2:$W$45-$B$106)*(76&lt;=Projects!$W$2:$W$45+$B$17)*$B$107)*((Projects!$B$2:$B$45&gt;=$B$12)*$B$6+(Projects!$B$2:$B$45&lt;$B$12)*(Projects!$B$2:$B$45&gt;=$B$13)*$B$7+(Projects!$B$2:$B$45&lt;$B$13)*$B$8))</f>
        <v>0</v>
      </c>
      <c r="CC39" s="363" t="n">
        <f aca="false">SUMPRODUCT((Projects!$G$2:$G$45="Yes")*(77&gt;=Projects!$C$2:$C$45-$B$15)*((77&lt;=Projects!$W$2:$W$45-$B$106)*1+(77&gt;Projects!$W$2:$W$45-$B$106)*(77&lt;=Projects!$W$2:$W$45+$B$17)*$B$107)*((Projects!$B$2:$B$45&gt;=$B$12)*$B$6+(Projects!$B$2:$B$45&lt;$B$12)*(Projects!$B$2:$B$45&gt;=$B$13)*$B$7+(Projects!$B$2:$B$45&lt;$B$13)*$B$8))</f>
        <v>0</v>
      </c>
      <c r="CD39" s="363" t="n">
        <f aca="false">SUMPRODUCT((Projects!$G$2:$G$45="Yes")*(78&gt;=Projects!$C$2:$C$45-$B$15)*((78&lt;=Projects!$W$2:$W$45-$B$106)*1+(78&gt;Projects!$W$2:$W$45-$B$106)*(78&lt;=Projects!$W$2:$W$45+$B$17)*$B$107)*((Projects!$B$2:$B$45&gt;=$B$12)*$B$6+(Projects!$B$2:$B$45&lt;$B$12)*(Projects!$B$2:$B$45&gt;=$B$13)*$B$7+(Projects!$B$2:$B$45&lt;$B$13)*$B$8))</f>
        <v>0</v>
      </c>
      <c r="CE39" s="363" t="n">
        <f aca="false">SUMPRODUCT((Projects!$G$2:$G$45="Yes")*(79&gt;=Projects!$C$2:$C$45-$B$15)*((79&lt;=Projects!$W$2:$W$45-$B$106)*1+(79&gt;Projects!$W$2:$W$45-$B$106)*(79&lt;=Projects!$W$2:$W$45+$B$17)*$B$107)*((Projects!$B$2:$B$45&gt;=$B$12)*$B$6+(Projects!$B$2:$B$45&lt;$B$12)*(Projects!$B$2:$B$45&gt;=$B$13)*$B$7+(Projects!$B$2:$B$45&lt;$B$13)*$B$8))</f>
        <v>0</v>
      </c>
      <c r="CF39" s="363" t="n">
        <f aca="false">SUMPRODUCT((Projects!$G$2:$G$45="Yes")*(80&gt;=Projects!$C$2:$C$45-$B$15)*((80&lt;=Projects!$W$2:$W$45-$B$106)*1+(80&gt;Projects!$W$2:$W$45-$B$106)*(80&lt;=Projects!$W$2:$W$45+$B$17)*$B$107)*((Projects!$B$2:$B$45&gt;=$B$12)*$B$6+(Projects!$B$2:$B$45&lt;$B$12)*(Projects!$B$2:$B$45&gt;=$B$13)*$B$7+(Projects!$B$2:$B$45&lt;$B$13)*$B$8))</f>
        <v>0</v>
      </c>
      <c r="CG39" s="363" t="n">
        <f aca="false">SUMPRODUCT((Projects!$G$2:$G$45="Yes")*(81&gt;=Projects!$C$2:$C$45-$B$15)*((81&lt;=Projects!$W$2:$W$45-$B$106)*1+(81&gt;Projects!$W$2:$W$45-$B$106)*(81&lt;=Projects!$W$2:$W$45+$B$17)*$B$107)*((Projects!$B$2:$B$45&gt;=$B$12)*$B$6+(Projects!$B$2:$B$45&lt;$B$12)*(Projects!$B$2:$B$45&gt;=$B$13)*$B$7+(Projects!$B$2:$B$45&lt;$B$13)*$B$8))</f>
        <v>0</v>
      </c>
      <c r="CH39" s="363" t="n">
        <f aca="false">SUMPRODUCT((Projects!$G$2:$G$45="Yes")*(82&gt;=Projects!$C$2:$C$45-$B$15)*((82&lt;=Projects!$W$2:$W$45-$B$106)*1+(82&gt;Projects!$W$2:$W$45-$B$106)*(82&lt;=Projects!$W$2:$W$45+$B$17)*$B$107)*((Projects!$B$2:$B$45&gt;=$B$12)*$B$6+(Projects!$B$2:$B$45&lt;$B$12)*(Projects!$B$2:$B$45&gt;=$B$13)*$B$7+(Projects!$B$2:$B$45&lt;$B$13)*$B$8))</f>
        <v>0</v>
      </c>
      <c r="CI39" s="363" t="n">
        <f aca="false">SUMPRODUCT((Projects!$G$2:$G$45="Yes")*(83&gt;=Projects!$C$2:$C$45-$B$15)*((83&lt;=Projects!$W$2:$W$45-$B$106)*1+(83&gt;Projects!$W$2:$W$45-$B$106)*(83&lt;=Projects!$W$2:$W$45+$B$17)*$B$107)*((Projects!$B$2:$B$45&gt;=$B$12)*$B$6+(Projects!$B$2:$B$45&lt;$B$12)*(Projects!$B$2:$B$45&gt;=$B$13)*$B$7+(Projects!$B$2:$B$45&lt;$B$13)*$B$8))</f>
        <v>0</v>
      </c>
      <c r="CJ39" s="363" t="n">
        <f aca="false">SUMPRODUCT((Projects!$G$2:$G$45="Yes")*(84&gt;=Projects!$C$2:$C$45-$B$15)*((84&lt;=Projects!$W$2:$W$45-$B$106)*1+(84&gt;Projects!$W$2:$W$45-$B$106)*(84&lt;=Projects!$W$2:$W$45+$B$17)*$B$107)*((Projects!$B$2:$B$45&gt;=$B$12)*$B$6+(Projects!$B$2:$B$45&lt;$B$12)*(Projects!$B$2:$B$45&gt;=$B$13)*$B$7+(Projects!$B$2:$B$45&lt;$B$13)*$B$8))</f>
        <v>0</v>
      </c>
      <c r="CK39" s="363" t="n">
        <f aca="false">SUMPRODUCT((Projects!$G$2:$G$45="Yes")*(85&gt;=Projects!$C$2:$C$45-$B$15)*((85&lt;=Projects!$W$2:$W$45-$B$106)*1+(85&gt;Projects!$W$2:$W$45-$B$106)*(85&lt;=Projects!$W$2:$W$45+$B$17)*$B$107)*((Projects!$B$2:$B$45&gt;=$B$12)*$B$6+(Projects!$B$2:$B$45&lt;$B$12)*(Projects!$B$2:$B$45&gt;=$B$13)*$B$7+(Projects!$B$2:$B$45&lt;$B$13)*$B$8))</f>
        <v>0</v>
      </c>
      <c r="CL39" s="363" t="n">
        <f aca="false">SUMPRODUCT((Projects!$G$2:$G$45="Yes")*(86&gt;=Projects!$C$2:$C$45-$B$15)*((86&lt;=Projects!$W$2:$W$45-$B$106)*1+(86&gt;Projects!$W$2:$W$45-$B$106)*(86&lt;=Projects!$W$2:$W$45+$B$17)*$B$107)*((Projects!$B$2:$B$45&gt;=$B$12)*$B$6+(Projects!$B$2:$B$45&lt;$B$12)*(Projects!$B$2:$B$45&gt;=$B$13)*$B$7+(Projects!$B$2:$B$45&lt;$B$13)*$B$8))</f>
        <v>0</v>
      </c>
      <c r="CM39" s="363" t="n">
        <f aca="false">SUMPRODUCT((Projects!$G$2:$G$45="Yes")*(87&gt;=Projects!$C$2:$C$45-$B$15)*((87&lt;=Projects!$W$2:$W$45-$B$106)*1+(87&gt;Projects!$W$2:$W$45-$B$106)*(87&lt;=Projects!$W$2:$W$45+$B$17)*$B$107)*((Projects!$B$2:$B$45&gt;=$B$12)*$B$6+(Projects!$B$2:$B$45&lt;$B$12)*(Projects!$B$2:$B$45&gt;=$B$13)*$B$7+(Projects!$B$2:$B$45&lt;$B$13)*$B$8))</f>
        <v>0</v>
      </c>
      <c r="CN39" s="363" t="n">
        <f aca="false">SUMPRODUCT((Projects!$G$2:$G$45="Yes")*(88&gt;=Projects!$C$2:$C$45-$B$15)*((88&lt;=Projects!$W$2:$W$45-$B$106)*1+(88&gt;Projects!$W$2:$W$45-$B$106)*(88&lt;=Projects!$W$2:$W$45+$B$17)*$B$107)*((Projects!$B$2:$B$45&gt;=$B$12)*$B$6+(Projects!$B$2:$B$45&lt;$B$12)*(Projects!$B$2:$B$45&gt;=$B$13)*$B$7+(Projects!$B$2:$B$45&lt;$B$13)*$B$8))</f>
        <v>0</v>
      </c>
      <c r="CO39" s="363" t="n">
        <f aca="false">SUMPRODUCT((Projects!$G$2:$G$45="Yes")*(89&gt;=Projects!$C$2:$C$45-$B$15)*((89&lt;=Projects!$W$2:$W$45-$B$106)*1+(89&gt;Projects!$W$2:$W$45-$B$106)*(89&lt;=Projects!$W$2:$W$45+$B$17)*$B$107)*((Projects!$B$2:$B$45&gt;=$B$12)*$B$6+(Projects!$B$2:$B$45&lt;$B$12)*(Projects!$B$2:$B$45&gt;=$B$13)*$B$7+(Projects!$B$2:$B$45&lt;$B$13)*$B$8))</f>
        <v>0</v>
      </c>
      <c r="CP39" s="363" t="n">
        <f aca="false">SUMPRODUCT((Projects!$G$2:$G$45="Yes")*(90&gt;=Projects!$C$2:$C$45-$B$15)*((90&lt;=Projects!$W$2:$W$45-$B$106)*1+(90&gt;Projects!$W$2:$W$45-$B$106)*(90&lt;=Projects!$W$2:$W$45+$B$17)*$B$107)*((Projects!$B$2:$B$45&gt;=$B$12)*$B$6+(Projects!$B$2:$B$45&lt;$B$12)*(Projects!$B$2:$B$45&gt;=$B$13)*$B$7+(Projects!$B$2:$B$45&lt;$B$13)*$B$8))</f>
        <v>0</v>
      </c>
      <c r="CQ39" s="363" t="n">
        <f aca="false">SUMPRODUCT((Projects!$G$2:$G$45="Yes")*(91&gt;=Projects!$C$2:$C$45-$B$15)*((91&lt;=Projects!$W$2:$W$45-$B$106)*1+(91&gt;Projects!$W$2:$W$45-$B$106)*(91&lt;=Projects!$W$2:$W$45+$B$17)*$B$107)*((Projects!$B$2:$B$45&gt;=$B$12)*$B$6+(Projects!$B$2:$B$45&lt;$B$12)*(Projects!$B$2:$B$45&gt;=$B$13)*$B$7+(Projects!$B$2:$B$45&lt;$B$13)*$B$8))</f>
        <v>0</v>
      </c>
      <c r="CR39" s="363" t="n">
        <f aca="false">SUMPRODUCT((Projects!$G$2:$G$45="Yes")*(92&gt;=Projects!$C$2:$C$45-$B$15)*((92&lt;=Projects!$W$2:$W$45-$B$106)*1+(92&gt;Projects!$W$2:$W$45-$B$106)*(92&lt;=Projects!$W$2:$W$45+$B$17)*$B$107)*((Projects!$B$2:$B$45&gt;=$B$12)*$B$6+(Projects!$B$2:$B$45&lt;$B$12)*(Projects!$B$2:$B$45&gt;=$B$13)*$B$7+(Projects!$B$2:$B$45&lt;$B$13)*$B$8))</f>
        <v>0</v>
      </c>
      <c r="CS39" s="363" t="n">
        <f aca="false">SUMPRODUCT((Projects!$G$2:$G$45="Yes")*(93&gt;=Projects!$C$2:$C$45-$B$15)*((93&lt;=Projects!$W$2:$W$45-$B$106)*1+(93&gt;Projects!$W$2:$W$45-$B$106)*(93&lt;=Projects!$W$2:$W$45+$B$17)*$B$107)*((Projects!$B$2:$B$45&gt;=$B$12)*$B$6+(Projects!$B$2:$B$45&lt;$B$12)*(Projects!$B$2:$B$45&gt;=$B$13)*$B$7+(Projects!$B$2:$B$45&lt;$B$13)*$B$8))</f>
        <v>0</v>
      </c>
      <c r="CT39" s="363" t="n">
        <f aca="false">SUMPRODUCT((Projects!$G$2:$G$45="Yes")*(94&gt;=Projects!$C$2:$C$45-$B$15)*((94&lt;=Projects!$W$2:$W$45-$B$106)*1+(94&gt;Projects!$W$2:$W$45-$B$106)*(94&lt;=Projects!$W$2:$W$45+$B$17)*$B$107)*((Projects!$B$2:$B$45&gt;=$B$12)*$B$6+(Projects!$B$2:$B$45&lt;$B$12)*(Projects!$B$2:$B$45&gt;=$B$13)*$B$7+(Projects!$B$2:$B$45&lt;$B$13)*$B$8))</f>
        <v>0</v>
      </c>
      <c r="CU39" s="363" t="n">
        <f aca="false">SUMPRODUCT((Projects!$G$2:$G$45="Yes")*(95&gt;=Projects!$C$2:$C$45-$B$15)*((95&lt;=Projects!$W$2:$W$45-$B$106)*1+(95&gt;Projects!$W$2:$W$45-$B$106)*(95&lt;=Projects!$W$2:$W$45+$B$17)*$B$107)*((Projects!$B$2:$B$45&gt;=$B$12)*$B$6+(Projects!$B$2:$B$45&lt;$B$12)*(Projects!$B$2:$B$45&gt;=$B$13)*$B$7+(Projects!$B$2:$B$45&lt;$B$13)*$B$8))</f>
        <v>0</v>
      </c>
      <c r="CV39" s="363" t="n">
        <f aca="false">SUMPRODUCT((Projects!$G$2:$G$45="Yes")*(96&gt;=Projects!$C$2:$C$45-$B$15)*((96&lt;=Projects!$W$2:$W$45-$B$106)*1+(96&gt;Projects!$W$2:$W$45-$B$106)*(96&lt;=Projects!$W$2:$W$45+$B$17)*$B$107)*((Projects!$B$2:$B$45&gt;=$B$12)*$B$6+(Projects!$B$2:$B$45&lt;$B$12)*(Projects!$B$2:$B$45&gt;=$B$13)*$B$7+(Projects!$B$2:$B$45&lt;$B$13)*$B$8))</f>
        <v>0</v>
      </c>
      <c r="CW39" s="363" t="n">
        <f aca="false">SUMPRODUCT((Projects!$G$2:$G$45="Yes")*(97&gt;=Projects!$C$2:$C$45-$B$15)*((97&lt;=Projects!$W$2:$W$45-$B$106)*1+(97&gt;Projects!$W$2:$W$45-$B$106)*(97&lt;=Projects!$W$2:$W$45+$B$17)*$B$107)*((Projects!$B$2:$B$45&gt;=$B$12)*$B$6+(Projects!$B$2:$B$45&lt;$B$12)*(Projects!$B$2:$B$45&gt;=$B$13)*$B$7+(Projects!$B$2:$B$45&lt;$B$13)*$B$8))</f>
        <v>0</v>
      </c>
      <c r="CX39" s="363" t="n">
        <f aca="false">SUMPRODUCT((Projects!$G$2:$G$45="Yes")*(98&gt;=Projects!$C$2:$C$45-$B$15)*((98&lt;=Projects!$W$2:$W$45-$B$106)*1+(98&gt;Projects!$W$2:$W$45-$B$106)*(98&lt;=Projects!$W$2:$W$45+$B$17)*$B$107)*((Projects!$B$2:$B$45&gt;=$B$12)*$B$6+(Projects!$B$2:$B$45&lt;$B$12)*(Projects!$B$2:$B$45&gt;=$B$13)*$B$7+(Projects!$B$2:$B$45&lt;$B$13)*$B$8))</f>
        <v>0</v>
      </c>
      <c r="CY39" s="363" t="n">
        <f aca="false">SUMPRODUCT((Projects!$G$2:$G$45="Yes")*(99&gt;=Projects!$C$2:$C$45-$B$15)*((99&lt;=Projects!$W$2:$W$45-$B$106)*1+(99&gt;Projects!$W$2:$W$45-$B$106)*(99&lt;=Projects!$W$2:$W$45+$B$17)*$B$107)*((Projects!$B$2:$B$45&gt;=$B$12)*$B$6+(Projects!$B$2:$B$45&lt;$B$12)*(Projects!$B$2:$B$45&gt;=$B$13)*$B$7+(Projects!$B$2:$B$45&lt;$B$13)*$B$8))</f>
        <v>0</v>
      </c>
      <c r="CZ39" s="363" t="n">
        <f aca="false">SUMPRODUCT((Projects!$G$2:$G$45="Yes")*(100&gt;=Projects!$C$2:$C$45-$B$15)*((100&lt;=Projects!$W$2:$W$45-$B$106)*1+(100&gt;Projects!$W$2:$W$45-$B$106)*(100&lt;=Projects!$W$2:$W$45+$B$17)*$B$107)*((Projects!$B$2:$B$45&gt;=$B$12)*$B$6+(Projects!$B$2:$B$45&lt;$B$12)*(Projects!$B$2:$B$45&gt;=$B$13)*$B$7+(Projects!$B$2:$B$45&lt;$B$13)*$B$8))</f>
        <v>0</v>
      </c>
      <c r="DA39" s="363" t="n">
        <f aca="false">SUMPRODUCT((Projects!$G$2:$G$45="Yes")*(101&gt;=Projects!$C$2:$C$45-$B$15)*((101&lt;=Projects!$W$2:$W$45-$B$106)*1+(101&gt;Projects!$W$2:$W$45-$B$106)*(101&lt;=Projects!$W$2:$W$45+$B$17)*$B$107)*((Projects!$B$2:$B$45&gt;=$B$12)*$B$6+(Projects!$B$2:$B$45&lt;$B$12)*(Projects!$B$2:$B$45&gt;=$B$13)*$B$7+(Projects!$B$2:$B$45&lt;$B$13)*$B$8))</f>
        <v>0</v>
      </c>
      <c r="DB39" s="363" t="n">
        <f aca="false">SUMPRODUCT((Projects!$G$2:$G$45="Yes")*(102&gt;=Projects!$C$2:$C$45-$B$15)*((102&lt;=Projects!$W$2:$W$45-$B$106)*1+(102&gt;Projects!$W$2:$W$45-$B$106)*(102&lt;=Projects!$W$2:$W$45+$B$17)*$B$107)*((Projects!$B$2:$B$45&gt;=$B$12)*$B$6+(Projects!$B$2:$B$45&lt;$B$12)*(Projects!$B$2:$B$45&gt;=$B$13)*$B$7+(Projects!$B$2:$B$45&lt;$B$13)*$B$8))</f>
        <v>0</v>
      </c>
      <c r="DC39" s="363" t="n">
        <f aca="false">SUMPRODUCT((Projects!$G$2:$G$45="Yes")*(103&gt;=Projects!$C$2:$C$45-$B$15)*((103&lt;=Projects!$W$2:$W$45-$B$106)*1+(103&gt;Projects!$W$2:$W$45-$B$106)*(103&lt;=Projects!$W$2:$W$45+$B$17)*$B$107)*((Projects!$B$2:$B$45&gt;=$B$12)*$B$6+(Projects!$B$2:$B$45&lt;$B$12)*(Projects!$B$2:$B$45&gt;=$B$13)*$B$7+(Projects!$B$2:$B$45&lt;$B$13)*$B$8))</f>
        <v>0</v>
      </c>
      <c r="DD39" s="363" t="n">
        <f aca="false">SUMPRODUCT((Projects!$G$2:$G$45="Yes")*(104&gt;=Projects!$C$2:$C$45-$B$15)*((104&lt;=Projects!$W$2:$W$45-$B$106)*1+(104&gt;Projects!$W$2:$W$45-$B$106)*(104&lt;=Projects!$W$2:$W$45+$B$17)*$B$107)*((Projects!$B$2:$B$45&gt;=$B$12)*$B$6+(Projects!$B$2:$B$45&lt;$B$12)*(Projects!$B$2:$B$45&gt;=$B$13)*$B$7+(Projects!$B$2:$B$45&lt;$B$13)*$B$8))</f>
        <v>0</v>
      </c>
      <c r="DE39" s="363"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1210</v>
      </c>
      <c r="E40" s="363" t="n">
        <f aca="false">SUMPRODUCT((Projects!$G$2:$G$45="Yes")*(1&gt;=Projects!$C$2:$C$45-$B$16)*((1&lt;=Projects!$W$2:$W$45-$B$106)*1+(1&gt;Projects!$W$2:$W$45-$B$106)*(1&lt;=Projects!$W$2:$W$45+$B$17)*$B$107)*((Projects!$B$2:$B$45&gt;=$B$12)*$B$9+(Projects!$B$2:$B$45&lt;$B$12)*(Projects!$B$2:$B$45&gt;=$B$13)*$B$10+(Projects!$B$2:$B$45&lt;$B$13)*$B$11))</f>
        <v>1.6</v>
      </c>
      <c r="F40" s="363" t="n">
        <f aca="false">SUMPRODUCT((Projects!$G$2:$G$45="Yes")*(2&gt;=Projects!$C$2:$C$45-$B$16)*((2&lt;=Projects!$W$2:$W$45-$B$106)*1+(2&gt;Projects!$W$2:$W$45-$B$106)*(2&lt;=Projects!$W$2:$W$45+$B$17)*$B$107)*((Projects!$B$2:$B$45&gt;=$B$12)*$B$9+(Projects!$B$2:$B$45&lt;$B$12)*(Projects!$B$2:$B$45&gt;=$B$13)*$B$10+(Projects!$B$2:$B$45&lt;$B$13)*$B$11))</f>
        <v>1.6</v>
      </c>
      <c r="G40" s="363" t="n">
        <f aca="false">SUMPRODUCT((Projects!$G$2:$G$45="Yes")*(3&gt;=Projects!$C$2:$C$45-$B$16)*((3&lt;=Projects!$W$2:$W$45-$B$106)*1+(3&gt;Projects!$W$2:$W$45-$B$106)*(3&lt;=Projects!$W$2:$W$45+$B$17)*$B$107)*((Projects!$B$2:$B$45&gt;=$B$12)*$B$9+(Projects!$B$2:$B$45&lt;$B$12)*(Projects!$B$2:$B$45&gt;=$B$13)*$B$10+(Projects!$B$2:$B$45&lt;$B$13)*$B$11))</f>
        <v>1.6</v>
      </c>
      <c r="H40" s="363" t="n">
        <f aca="false">SUMPRODUCT((Projects!$G$2:$G$45="Yes")*(4&gt;=Projects!$C$2:$C$45-$B$16)*((4&lt;=Projects!$W$2:$W$45-$B$106)*1+(4&gt;Projects!$W$2:$W$45-$B$106)*(4&lt;=Projects!$W$2:$W$45+$B$17)*$B$107)*((Projects!$B$2:$B$45&gt;=$B$12)*$B$9+(Projects!$B$2:$B$45&lt;$B$12)*(Projects!$B$2:$B$45&gt;=$B$13)*$B$10+(Projects!$B$2:$B$45&lt;$B$13)*$B$11))</f>
        <v>1.35</v>
      </c>
      <c r="I40" s="363" t="n">
        <f aca="false">SUMPRODUCT((Projects!$G$2:$G$45="Yes")*(5&gt;=Projects!$C$2:$C$45-$B$16)*((5&lt;=Projects!$W$2:$W$45-$B$106)*1+(5&gt;Projects!$W$2:$W$45-$B$106)*(5&lt;=Projects!$W$2:$W$45+$B$17)*$B$107)*((Projects!$B$2:$B$45&gt;=$B$12)*$B$9+(Projects!$B$2:$B$45&lt;$B$12)*(Projects!$B$2:$B$45&gt;=$B$13)*$B$10+(Projects!$B$2:$B$45&lt;$B$13)*$B$11))</f>
        <v>2.05</v>
      </c>
      <c r="J40" s="363" t="n">
        <f aca="false">SUMPRODUCT((Projects!$G$2:$G$45="Yes")*(6&gt;=Projects!$C$2:$C$45-$B$16)*((6&lt;=Projects!$W$2:$W$45-$B$106)*1+(6&gt;Projects!$W$2:$W$45-$B$106)*(6&lt;=Projects!$W$2:$W$45+$B$17)*$B$107)*((Projects!$B$2:$B$45&gt;=$B$12)*$B$9+(Projects!$B$2:$B$45&lt;$B$12)*(Projects!$B$2:$B$45&gt;=$B$13)*$B$10+(Projects!$B$2:$B$45&lt;$B$13)*$B$11))</f>
        <v>2.25</v>
      </c>
      <c r="K40" s="363" t="n">
        <f aca="false">SUMPRODUCT((Projects!$G$2:$G$45="Yes")*(7&gt;=Projects!$C$2:$C$45-$B$16)*((7&lt;=Projects!$W$2:$W$45-$B$106)*1+(7&gt;Projects!$W$2:$W$45-$B$106)*(7&lt;=Projects!$W$2:$W$45+$B$17)*$B$107)*((Projects!$B$2:$B$45&gt;=$B$12)*$B$9+(Projects!$B$2:$B$45&lt;$B$12)*(Projects!$B$2:$B$45&gt;=$B$13)*$B$10+(Projects!$B$2:$B$45&lt;$B$13)*$B$11))</f>
        <v>2.25</v>
      </c>
      <c r="L40" s="363" t="n">
        <f aca="false">SUMPRODUCT((Projects!$G$2:$G$45="Yes")*(8&gt;=Projects!$C$2:$C$45-$B$16)*((8&lt;=Projects!$W$2:$W$45-$B$106)*1+(8&gt;Projects!$W$2:$W$45-$B$106)*(8&lt;=Projects!$W$2:$W$45+$B$17)*$B$107)*((Projects!$B$2:$B$45&gt;=$B$12)*$B$9+(Projects!$B$2:$B$45&lt;$B$12)*(Projects!$B$2:$B$45&gt;=$B$13)*$B$10+(Projects!$B$2:$B$45&lt;$B$13)*$B$11))</f>
        <v>2.25</v>
      </c>
      <c r="M40" s="363" t="n">
        <f aca="false">SUMPRODUCT((Projects!$G$2:$G$45="Yes")*(9&gt;=Projects!$C$2:$C$45-$B$16)*((9&lt;=Projects!$W$2:$W$45-$B$106)*1+(9&gt;Projects!$W$2:$W$45-$B$106)*(9&lt;=Projects!$W$2:$W$45+$B$17)*$B$107)*((Projects!$B$2:$B$45&gt;=$B$12)*$B$9+(Projects!$B$2:$B$45&lt;$B$12)*(Projects!$B$2:$B$45&gt;=$B$13)*$B$10+(Projects!$B$2:$B$45&lt;$B$13)*$B$11))</f>
        <v>2.45</v>
      </c>
      <c r="N40" s="363" t="n">
        <f aca="false">SUMPRODUCT((Projects!$G$2:$G$45="Yes")*(10&gt;=Projects!$C$2:$C$45-$B$16)*((10&lt;=Projects!$W$2:$W$45-$B$106)*1+(10&gt;Projects!$W$2:$W$45-$B$106)*(10&lt;=Projects!$W$2:$W$45+$B$17)*$B$107)*((Projects!$B$2:$B$45&gt;=$B$12)*$B$9+(Projects!$B$2:$B$45&lt;$B$12)*(Projects!$B$2:$B$45&gt;=$B$13)*$B$10+(Projects!$B$2:$B$45&lt;$B$13)*$B$11))</f>
        <v>2.7</v>
      </c>
      <c r="O40" s="363" t="n">
        <f aca="false">SUMPRODUCT((Projects!$G$2:$G$45="Yes")*(11&gt;=Projects!$C$2:$C$45-$B$16)*((11&lt;=Projects!$W$2:$W$45-$B$106)*1+(11&gt;Projects!$W$2:$W$45-$B$106)*(11&lt;=Projects!$W$2:$W$45+$B$17)*$B$107)*((Projects!$B$2:$B$45&gt;=$B$12)*$B$9+(Projects!$B$2:$B$45&lt;$B$12)*(Projects!$B$2:$B$45&gt;=$B$13)*$B$10+(Projects!$B$2:$B$45&lt;$B$13)*$B$11))</f>
        <v>2.95</v>
      </c>
      <c r="P40" s="363" t="n">
        <f aca="false">SUMPRODUCT((Projects!$G$2:$G$45="Yes")*(12&gt;=Projects!$C$2:$C$45-$B$16)*((12&lt;=Projects!$W$2:$W$45-$B$106)*1+(12&gt;Projects!$W$2:$W$45-$B$106)*(12&lt;=Projects!$W$2:$W$45+$B$17)*$B$107)*((Projects!$B$2:$B$45&gt;=$B$12)*$B$9+(Projects!$B$2:$B$45&lt;$B$12)*(Projects!$B$2:$B$45&gt;=$B$13)*$B$10+(Projects!$B$2:$B$45&lt;$B$13)*$B$11))</f>
        <v>2.95</v>
      </c>
      <c r="Q40" s="363" t="n">
        <f aca="false">SUMPRODUCT((Projects!$G$2:$G$45="Yes")*(13&gt;=Projects!$C$2:$C$45-$B$16)*((13&lt;=Projects!$W$2:$W$45-$B$106)*1+(13&gt;Projects!$W$2:$W$45-$B$106)*(13&lt;=Projects!$W$2:$W$45+$B$17)*$B$107)*((Projects!$B$2:$B$45&gt;=$B$12)*$B$9+(Projects!$B$2:$B$45&lt;$B$12)*(Projects!$B$2:$B$45&gt;=$B$13)*$B$10+(Projects!$B$2:$B$45&lt;$B$13)*$B$11))</f>
        <v>2.85</v>
      </c>
      <c r="R40" s="363" t="n">
        <f aca="false">SUMPRODUCT((Projects!$G$2:$G$45="Yes")*(14&gt;=Projects!$C$2:$C$45-$B$16)*((14&lt;=Projects!$W$2:$W$45-$B$106)*1+(14&gt;Projects!$W$2:$W$45-$B$106)*(14&lt;=Projects!$W$2:$W$45+$B$17)*$B$107)*((Projects!$B$2:$B$45&gt;=$B$12)*$B$9+(Projects!$B$2:$B$45&lt;$B$12)*(Projects!$B$2:$B$45&gt;=$B$13)*$B$10+(Projects!$B$2:$B$45&lt;$B$13)*$B$11))</f>
        <v>2.75</v>
      </c>
      <c r="S40" s="363" t="n">
        <f aca="false">SUMPRODUCT((Projects!$G$2:$G$45="Yes")*(15&gt;=Projects!$C$2:$C$45-$B$16)*((15&lt;=Projects!$W$2:$W$45-$B$106)*1+(15&gt;Projects!$W$2:$W$45-$B$106)*(15&lt;=Projects!$W$2:$W$45+$B$17)*$B$107)*((Projects!$B$2:$B$45&gt;=$B$12)*$B$9+(Projects!$B$2:$B$45&lt;$B$12)*(Projects!$B$2:$B$45&gt;=$B$13)*$B$10+(Projects!$B$2:$B$45&lt;$B$13)*$B$11))</f>
        <v>3.35</v>
      </c>
      <c r="T40" s="363" t="n">
        <f aca="false">SUMPRODUCT((Projects!$G$2:$G$45="Yes")*(16&gt;=Projects!$C$2:$C$45-$B$16)*((16&lt;=Projects!$W$2:$W$45-$B$106)*1+(16&gt;Projects!$W$2:$W$45-$B$106)*(16&lt;=Projects!$W$2:$W$45+$B$17)*$B$107)*((Projects!$B$2:$B$45&gt;=$B$12)*$B$9+(Projects!$B$2:$B$45&lt;$B$12)*(Projects!$B$2:$B$45&gt;=$B$13)*$B$10+(Projects!$B$2:$B$45&lt;$B$13)*$B$11))</f>
        <v>3.35</v>
      </c>
      <c r="U40" s="363" t="n">
        <f aca="false">SUMPRODUCT((Projects!$G$2:$G$45="Yes")*(17&gt;=Projects!$C$2:$C$45-$B$16)*((17&lt;=Projects!$W$2:$W$45-$B$106)*1+(17&gt;Projects!$W$2:$W$45-$B$106)*(17&lt;=Projects!$W$2:$W$45+$B$17)*$B$107)*((Projects!$B$2:$B$45&gt;=$B$12)*$B$9+(Projects!$B$2:$B$45&lt;$B$12)*(Projects!$B$2:$B$45&gt;=$B$13)*$B$10+(Projects!$B$2:$B$45&lt;$B$13)*$B$11))</f>
        <v>3.1</v>
      </c>
      <c r="V40" s="363" t="n">
        <f aca="false">SUMPRODUCT((Projects!$G$2:$G$45="Yes")*(18&gt;=Projects!$C$2:$C$45-$B$16)*((18&lt;=Projects!$W$2:$W$45-$B$106)*1+(18&gt;Projects!$W$2:$W$45-$B$106)*(18&lt;=Projects!$W$2:$W$45+$B$17)*$B$107)*((Projects!$B$2:$B$45&gt;=$B$12)*$B$9+(Projects!$B$2:$B$45&lt;$B$12)*(Projects!$B$2:$B$45&gt;=$B$13)*$B$10+(Projects!$B$2:$B$45&lt;$B$13)*$B$11))</f>
        <v>3.1</v>
      </c>
      <c r="W40" s="363" t="n">
        <f aca="false">SUMPRODUCT((Projects!$G$2:$G$45="Yes")*(19&gt;=Projects!$C$2:$C$45-$B$16)*((19&lt;=Projects!$W$2:$W$45-$B$106)*1+(19&gt;Projects!$W$2:$W$45-$B$106)*(19&lt;=Projects!$W$2:$W$45+$B$17)*$B$107)*((Projects!$B$2:$B$45&gt;=$B$12)*$B$9+(Projects!$B$2:$B$45&lt;$B$12)*(Projects!$B$2:$B$45&gt;=$B$13)*$B$10+(Projects!$B$2:$B$45&lt;$B$13)*$B$11))</f>
        <v>2.9</v>
      </c>
      <c r="X40" s="363" t="n">
        <f aca="false">SUMPRODUCT((Projects!$G$2:$G$45="Yes")*(20&gt;=Projects!$C$2:$C$45-$B$16)*((20&lt;=Projects!$W$2:$W$45-$B$106)*1+(20&gt;Projects!$W$2:$W$45-$B$106)*(20&lt;=Projects!$W$2:$W$45+$B$17)*$B$107)*((Projects!$B$2:$B$45&gt;=$B$12)*$B$9+(Projects!$B$2:$B$45&lt;$B$12)*(Projects!$B$2:$B$45&gt;=$B$13)*$B$10+(Projects!$B$2:$B$45&lt;$B$13)*$B$11))</f>
        <v>2.7</v>
      </c>
      <c r="Y40" s="363" t="n">
        <f aca="false">SUMPRODUCT((Projects!$G$2:$G$45="Yes")*(21&gt;=Projects!$C$2:$C$45-$B$16)*((21&lt;=Projects!$W$2:$W$45-$B$106)*1+(21&gt;Projects!$W$2:$W$45-$B$106)*(21&lt;=Projects!$W$2:$W$45+$B$17)*$B$107)*((Projects!$B$2:$B$45&gt;=$B$12)*$B$9+(Projects!$B$2:$B$45&lt;$B$12)*(Projects!$B$2:$B$45&gt;=$B$13)*$B$10+(Projects!$B$2:$B$45&lt;$B$13)*$B$11))</f>
        <v>2.6</v>
      </c>
      <c r="Z40" s="363" t="n">
        <f aca="false">SUMPRODUCT((Projects!$G$2:$G$45="Yes")*(22&gt;=Projects!$C$2:$C$45-$B$16)*((22&lt;=Projects!$W$2:$W$45-$B$106)*1+(22&gt;Projects!$W$2:$W$45-$B$106)*(22&lt;=Projects!$W$2:$W$45+$B$17)*$B$107)*((Projects!$B$2:$B$45&gt;=$B$12)*$B$9+(Projects!$B$2:$B$45&lt;$B$12)*(Projects!$B$2:$B$45&gt;=$B$13)*$B$10+(Projects!$B$2:$B$45&lt;$B$13)*$B$11))</f>
        <v>2.6</v>
      </c>
      <c r="AA40" s="363" t="n">
        <f aca="false">SUMPRODUCT((Projects!$G$2:$G$45="Yes")*(23&gt;=Projects!$C$2:$C$45-$B$16)*((23&lt;=Projects!$W$2:$W$45-$B$106)*1+(23&gt;Projects!$W$2:$W$45-$B$106)*(23&lt;=Projects!$W$2:$W$45+$B$17)*$B$107)*((Projects!$B$2:$B$45&gt;=$B$12)*$B$9+(Projects!$B$2:$B$45&lt;$B$12)*(Projects!$B$2:$B$45&gt;=$B$13)*$B$10+(Projects!$B$2:$B$45&lt;$B$13)*$B$11))</f>
        <v>2.6</v>
      </c>
      <c r="AB40" s="363" t="n">
        <f aca="false">SUMPRODUCT((Projects!$G$2:$G$45="Yes")*(24&gt;=Projects!$C$2:$C$45-$B$16)*((24&lt;=Projects!$W$2:$W$45-$B$106)*1+(24&gt;Projects!$W$2:$W$45-$B$106)*(24&lt;=Projects!$W$2:$W$45+$B$17)*$B$107)*((Projects!$B$2:$B$45&gt;=$B$12)*$B$9+(Projects!$B$2:$B$45&lt;$B$12)*(Projects!$B$2:$B$45&gt;=$B$13)*$B$10+(Projects!$B$2:$B$45&lt;$B$13)*$B$11))</f>
        <v>2.25</v>
      </c>
      <c r="AC40" s="363" t="n">
        <f aca="false">SUMPRODUCT((Projects!$G$2:$G$45="Yes")*(25&gt;=Projects!$C$2:$C$45-$B$16)*((25&lt;=Projects!$W$2:$W$45-$B$106)*1+(25&gt;Projects!$W$2:$W$45-$B$106)*(25&lt;=Projects!$W$2:$W$45+$B$17)*$B$107)*((Projects!$B$2:$B$45&gt;=$B$12)*$B$9+(Projects!$B$2:$B$45&lt;$B$12)*(Projects!$B$2:$B$45&gt;=$B$13)*$B$10+(Projects!$B$2:$B$45&lt;$B$13)*$B$11))</f>
        <v>1.9</v>
      </c>
      <c r="AD40" s="363" t="n">
        <f aca="false">SUMPRODUCT((Projects!$G$2:$G$45="Yes")*(26&gt;=Projects!$C$2:$C$45-$B$16)*((26&lt;=Projects!$W$2:$W$45-$B$106)*1+(26&gt;Projects!$W$2:$W$45-$B$106)*(26&lt;=Projects!$W$2:$W$45+$B$17)*$B$107)*((Projects!$B$2:$B$45&gt;=$B$12)*$B$9+(Projects!$B$2:$B$45&lt;$B$12)*(Projects!$B$2:$B$45&gt;=$B$13)*$B$10+(Projects!$B$2:$B$45&lt;$B$13)*$B$11))</f>
        <v>1.8</v>
      </c>
      <c r="AE40" s="363" t="n">
        <f aca="false">SUMPRODUCT((Projects!$G$2:$G$45="Yes")*(27&gt;=Projects!$C$2:$C$45-$B$16)*((27&lt;=Projects!$W$2:$W$45-$B$106)*1+(27&gt;Projects!$W$2:$W$45-$B$106)*(27&lt;=Projects!$W$2:$W$45+$B$17)*$B$107)*((Projects!$B$2:$B$45&gt;=$B$12)*$B$9+(Projects!$B$2:$B$45&lt;$B$12)*(Projects!$B$2:$B$45&gt;=$B$13)*$B$10+(Projects!$B$2:$B$45&lt;$B$13)*$B$11))</f>
        <v>1.8</v>
      </c>
      <c r="AF40" s="363" t="n">
        <f aca="false">SUMPRODUCT((Projects!$G$2:$G$45="Yes")*(28&gt;=Projects!$C$2:$C$45-$B$16)*((28&lt;=Projects!$W$2:$W$45-$B$106)*1+(28&gt;Projects!$W$2:$W$45-$B$106)*(28&lt;=Projects!$W$2:$W$45+$B$17)*$B$107)*((Projects!$B$2:$B$45&gt;=$B$12)*$B$9+(Projects!$B$2:$B$45&lt;$B$12)*(Projects!$B$2:$B$45&gt;=$B$13)*$B$10+(Projects!$B$2:$B$45&lt;$B$13)*$B$11))</f>
        <v>1.8</v>
      </c>
      <c r="AG40" s="363" t="n">
        <f aca="false">SUMPRODUCT((Projects!$G$2:$G$45="Yes")*(29&gt;=Projects!$C$2:$C$45-$B$16)*((29&lt;=Projects!$W$2:$W$45-$B$106)*1+(29&gt;Projects!$W$2:$W$45-$B$106)*(29&lt;=Projects!$W$2:$W$45+$B$17)*$B$107)*((Projects!$B$2:$B$45&gt;=$B$12)*$B$9+(Projects!$B$2:$B$45&lt;$B$12)*(Projects!$B$2:$B$45&gt;=$B$13)*$B$10+(Projects!$B$2:$B$45&lt;$B$13)*$B$11))</f>
        <v>1.8</v>
      </c>
      <c r="AH40" s="363" t="n">
        <f aca="false">SUMPRODUCT((Projects!$G$2:$G$45="Yes")*(30&gt;=Projects!$C$2:$C$45-$B$16)*((30&lt;=Projects!$W$2:$W$45-$B$106)*1+(30&gt;Projects!$W$2:$W$45-$B$106)*(30&lt;=Projects!$W$2:$W$45+$B$17)*$B$107)*((Projects!$B$2:$B$45&gt;=$B$12)*$B$9+(Projects!$B$2:$B$45&lt;$B$12)*(Projects!$B$2:$B$45&gt;=$B$13)*$B$10+(Projects!$B$2:$B$45&lt;$B$13)*$B$11))</f>
        <v>1.45</v>
      </c>
      <c r="AI40" s="363" t="n">
        <f aca="false">SUMPRODUCT((Projects!$G$2:$G$45="Yes")*(31&gt;=Projects!$C$2:$C$45-$B$16)*((31&lt;=Projects!$W$2:$W$45-$B$106)*1+(31&gt;Projects!$W$2:$W$45-$B$106)*(31&lt;=Projects!$W$2:$W$45+$B$17)*$B$107)*((Projects!$B$2:$B$45&gt;=$B$12)*$B$9+(Projects!$B$2:$B$45&lt;$B$12)*(Projects!$B$2:$B$45&gt;=$B$13)*$B$10+(Projects!$B$2:$B$45&lt;$B$13)*$B$11))</f>
        <v>1.2</v>
      </c>
      <c r="AJ40" s="363" t="n">
        <f aca="false">SUMPRODUCT((Projects!$G$2:$G$45="Yes")*(32&gt;=Projects!$C$2:$C$45-$B$16)*((32&lt;=Projects!$W$2:$W$45-$B$106)*1+(32&gt;Projects!$W$2:$W$45-$B$106)*(32&lt;=Projects!$W$2:$W$45+$B$17)*$B$107)*((Projects!$B$2:$B$45&gt;=$B$12)*$B$9+(Projects!$B$2:$B$45&lt;$B$12)*(Projects!$B$2:$B$45&gt;=$B$13)*$B$10+(Projects!$B$2:$B$45&lt;$B$13)*$B$11))</f>
        <v>0.95</v>
      </c>
      <c r="AK40" s="363" t="n">
        <f aca="false">SUMPRODUCT((Projects!$G$2:$G$45="Yes")*(33&gt;=Projects!$C$2:$C$45-$B$16)*((33&lt;=Projects!$W$2:$W$45-$B$106)*1+(33&gt;Projects!$W$2:$W$45-$B$106)*(33&lt;=Projects!$W$2:$W$45+$B$17)*$B$107)*((Projects!$B$2:$B$45&gt;=$B$12)*$B$9+(Projects!$B$2:$B$45&lt;$B$12)*(Projects!$B$2:$B$45&gt;=$B$13)*$B$10+(Projects!$B$2:$B$45&lt;$B$13)*$B$11))</f>
        <v>0.95</v>
      </c>
      <c r="AL40" s="363" t="n">
        <f aca="false">SUMPRODUCT((Projects!$G$2:$G$45="Yes")*(34&gt;=Projects!$C$2:$C$45-$B$16)*((34&lt;=Projects!$W$2:$W$45-$B$106)*1+(34&gt;Projects!$W$2:$W$45-$B$106)*(34&lt;=Projects!$W$2:$W$45+$B$17)*$B$107)*((Projects!$B$2:$B$45&gt;=$B$12)*$B$9+(Projects!$B$2:$B$45&lt;$B$12)*(Projects!$B$2:$B$45&gt;=$B$13)*$B$10+(Projects!$B$2:$B$45&lt;$B$13)*$B$11))</f>
        <v>0.85</v>
      </c>
      <c r="AM40" s="363" t="n">
        <f aca="false">SUMPRODUCT((Projects!$G$2:$G$45="Yes")*(35&gt;=Projects!$C$2:$C$45-$B$16)*((35&lt;=Projects!$W$2:$W$45-$B$106)*1+(35&gt;Projects!$W$2:$W$45-$B$106)*(35&lt;=Projects!$W$2:$W$45+$B$17)*$B$107)*((Projects!$B$2:$B$45&gt;=$B$12)*$B$9+(Projects!$B$2:$B$45&lt;$B$12)*(Projects!$B$2:$B$45&gt;=$B$13)*$B$10+(Projects!$B$2:$B$45&lt;$B$13)*$B$11))</f>
        <v>0.85</v>
      </c>
      <c r="AN40" s="363" t="n">
        <f aca="false">SUMPRODUCT((Projects!$G$2:$G$45="Yes")*(36&gt;=Projects!$C$2:$C$45-$B$16)*((36&lt;=Projects!$W$2:$W$45-$B$106)*1+(36&gt;Projects!$W$2:$W$45-$B$106)*(36&lt;=Projects!$W$2:$W$45+$B$17)*$B$107)*((Projects!$B$2:$B$45&gt;=$B$12)*$B$9+(Projects!$B$2:$B$45&lt;$B$12)*(Projects!$B$2:$B$45&gt;=$B$13)*$B$10+(Projects!$B$2:$B$45&lt;$B$13)*$B$11))</f>
        <v>0.85</v>
      </c>
      <c r="AO40" s="363" t="n">
        <f aca="false">SUMPRODUCT((Projects!$G$2:$G$45="Yes")*(37&gt;=Projects!$C$2:$C$45-$B$16)*((37&lt;=Projects!$W$2:$W$45-$B$106)*1+(37&gt;Projects!$W$2:$W$45-$B$106)*(37&lt;=Projects!$W$2:$W$45+$B$17)*$B$107)*((Projects!$B$2:$B$45&gt;=$B$12)*$B$9+(Projects!$B$2:$B$45&lt;$B$12)*(Projects!$B$2:$B$45&gt;=$B$13)*$B$10+(Projects!$B$2:$B$45&lt;$B$13)*$B$11))</f>
        <v>0.85</v>
      </c>
      <c r="AP40" s="363" t="n">
        <f aca="false">SUMPRODUCT((Projects!$G$2:$G$45="Yes")*(38&gt;=Projects!$C$2:$C$45-$B$16)*((38&lt;=Projects!$W$2:$W$45-$B$106)*1+(38&gt;Projects!$W$2:$W$45-$B$106)*(38&lt;=Projects!$W$2:$W$45+$B$17)*$B$107)*((Projects!$B$2:$B$45&gt;=$B$12)*$B$9+(Projects!$B$2:$B$45&lt;$B$12)*(Projects!$B$2:$B$45&gt;=$B$13)*$B$10+(Projects!$B$2:$B$45&lt;$B$13)*$B$11))</f>
        <v>0.6</v>
      </c>
      <c r="AQ40" s="363" t="n">
        <f aca="false">SUMPRODUCT((Projects!$G$2:$G$45="Yes")*(39&gt;=Projects!$C$2:$C$45-$B$16)*((39&lt;=Projects!$W$2:$W$45-$B$106)*1+(39&gt;Projects!$W$2:$W$45-$B$106)*(39&lt;=Projects!$W$2:$W$45+$B$17)*$B$107)*((Projects!$B$2:$B$45&gt;=$B$12)*$B$9+(Projects!$B$2:$B$45&lt;$B$12)*(Projects!$B$2:$B$45&gt;=$B$13)*$B$10+(Projects!$B$2:$B$45&lt;$B$13)*$B$11))</f>
        <v>0.6</v>
      </c>
      <c r="AR40" s="363" t="n">
        <f aca="false">SUMPRODUCT((Projects!$G$2:$G$45="Yes")*(40&gt;=Projects!$C$2:$C$45-$B$16)*((40&lt;=Projects!$W$2:$W$45-$B$106)*1+(40&gt;Projects!$W$2:$W$45-$B$106)*(40&lt;=Projects!$W$2:$W$45+$B$17)*$B$107)*((Projects!$B$2:$B$45&gt;=$B$12)*$B$9+(Projects!$B$2:$B$45&lt;$B$12)*(Projects!$B$2:$B$45&gt;=$B$13)*$B$10+(Projects!$B$2:$B$45&lt;$B$13)*$B$11))</f>
        <v>0.25</v>
      </c>
      <c r="AS40" s="363" t="n">
        <f aca="false">SUMPRODUCT((Projects!$G$2:$G$45="Yes")*(41&gt;=Projects!$C$2:$C$45-$B$16)*((41&lt;=Projects!$W$2:$W$45-$B$106)*1+(41&gt;Projects!$W$2:$W$45-$B$106)*(41&lt;=Projects!$W$2:$W$45+$B$17)*$B$107)*((Projects!$B$2:$B$45&gt;=$B$12)*$B$9+(Projects!$B$2:$B$45&lt;$B$12)*(Projects!$B$2:$B$45&gt;=$B$13)*$B$10+(Projects!$B$2:$B$45&lt;$B$13)*$B$11))</f>
        <v>0.25</v>
      </c>
      <c r="AT40" s="363" t="n">
        <f aca="false">SUMPRODUCT((Projects!$G$2:$G$45="Yes")*(42&gt;=Projects!$C$2:$C$45-$B$16)*((42&lt;=Projects!$W$2:$W$45-$B$106)*1+(42&gt;Projects!$W$2:$W$45-$B$106)*(42&lt;=Projects!$W$2:$W$45+$B$17)*$B$107)*((Projects!$B$2:$B$45&gt;=$B$12)*$B$9+(Projects!$B$2:$B$45&lt;$B$12)*(Projects!$B$2:$B$45&gt;=$B$13)*$B$10+(Projects!$B$2:$B$45&lt;$B$13)*$B$11))</f>
        <v>0.25</v>
      </c>
      <c r="AU40" s="363" t="n">
        <f aca="false">SUMPRODUCT((Projects!$G$2:$G$45="Yes")*(43&gt;=Projects!$C$2:$C$45-$B$16)*((43&lt;=Projects!$W$2:$W$45-$B$106)*1+(43&gt;Projects!$W$2:$W$45-$B$106)*(43&lt;=Projects!$W$2:$W$45+$B$17)*$B$107)*((Projects!$B$2:$B$45&gt;=$B$12)*$B$9+(Projects!$B$2:$B$45&lt;$B$12)*(Projects!$B$2:$B$45&gt;=$B$13)*$B$10+(Projects!$B$2:$B$45&lt;$B$13)*$B$11))</f>
        <v>0.25</v>
      </c>
      <c r="AV40" s="363" t="n">
        <f aca="false">SUMPRODUCT((Projects!$G$2:$G$45="Yes")*(44&gt;=Projects!$C$2:$C$45-$B$16)*((44&lt;=Projects!$W$2:$W$45-$B$106)*1+(44&gt;Projects!$W$2:$W$45-$B$106)*(44&lt;=Projects!$W$2:$W$45+$B$17)*$B$107)*((Projects!$B$2:$B$45&gt;=$B$12)*$B$9+(Projects!$B$2:$B$45&lt;$B$12)*(Projects!$B$2:$B$45&gt;=$B$13)*$B$10+(Projects!$B$2:$B$45&lt;$B$13)*$B$11))</f>
        <v>0.25</v>
      </c>
      <c r="AW40" s="363" t="n">
        <f aca="false">SUMPRODUCT((Projects!$G$2:$G$45="Yes")*(45&gt;=Projects!$C$2:$C$45-$B$16)*((45&lt;=Projects!$W$2:$W$45-$B$106)*1+(45&gt;Projects!$W$2:$W$45-$B$106)*(45&lt;=Projects!$W$2:$W$45+$B$17)*$B$107)*((Projects!$B$2:$B$45&gt;=$B$12)*$B$9+(Projects!$B$2:$B$45&lt;$B$12)*(Projects!$B$2:$B$45&gt;=$B$13)*$B$10+(Projects!$B$2:$B$45&lt;$B$13)*$B$11))</f>
        <v>0.25</v>
      </c>
      <c r="AX40" s="363" t="n">
        <f aca="false">SUMPRODUCT((Projects!$G$2:$G$45="Yes")*(46&gt;=Projects!$C$2:$C$45-$B$16)*((46&lt;=Projects!$W$2:$W$45-$B$106)*1+(46&gt;Projects!$W$2:$W$45-$B$106)*(46&lt;=Projects!$W$2:$W$45+$B$17)*$B$107)*((Projects!$B$2:$B$45&gt;=$B$12)*$B$9+(Projects!$B$2:$B$45&lt;$B$12)*(Projects!$B$2:$B$45&gt;=$B$13)*$B$10+(Projects!$B$2:$B$45&lt;$B$13)*$B$11))</f>
        <v>0</v>
      </c>
      <c r="AY40" s="363" t="n">
        <f aca="false">SUMPRODUCT((Projects!$G$2:$G$45="Yes")*(47&gt;=Projects!$C$2:$C$45-$B$16)*((47&lt;=Projects!$W$2:$W$45-$B$106)*1+(47&gt;Projects!$W$2:$W$45-$B$106)*(47&lt;=Projects!$W$2:$W$45+$B$17)*$B$107)*((Projects!$B$2:$B$45&gt;=$B$12)*$B$9+(Projects!$B$2:$B$45&lt;$B$12)*(Projects!$B$2:$B$45&gt;=$B$13)*$B$10+(Projects!$B$2:$B$45&lt;$B$13)*$B$11))</f>
        <v>0</v>
      </c>
      <c r="AZ40" s="363" t="n">
        <f aca="false">SUMPRODUCT((Projects!$G$2:$G$45="Yes")*(48&gt;=Projects!$C$2:$C$45-$B$16)*((48&lt;=Projects!$W$2:$W$45-$B$106)*1+(48&gt;Projects!$W$2:$W$45-$B$106)*(48&lt;=Projects!$W$2:$W$45+$B$17)*$B$107)*((Projects!$B$2:$B$45&gt;=$B$12)*$B$9+(Projects!$B$2:$B$45&lt;$B$12)*(Projects!$B$2:$B$45&gt;=$B$13)*$B$10+(Projects!$B$2:$B$45&lt;$B$13)*$B$11))</f>
        <v>0</v>
      </c>
      <c r="BA40" s="363" t="n">
        <f aca="false">SUMPRODUCT((Projects!$G$2:$G$45="Yes")*(49&gt;=Projects!$C$2:$C$45-$B$16)*((49&lt;=Projects!$W$2:$W$45-$B$106)*1+(49&gt;Projects!$W$2:$W$45-$B$106)*(49&lt;=Projects!$W$2:$W$45+$B$17)*$B$107)*((Projects!$B$2:$B$45&gt;=$B$12)*$B$9+(Projects!$B$2:$B$45&lt;$B$12)*(Projects!$B$2:$B$45&gt;=$B$13)*$B$10+(Projects!$B$2:$B$45&lt;$B$13)*$B$11))</f>
        <v>0</v>
      </c>
      <c r="BB40" s="363" t="n">
        <f aca="false">SUMPRODUCT((Projects!$G$2:$G$45="Yes")*(50&gt;=Projects!$C$2:$C$45-$B$16)*((50&lt;=Projects!$W$2:$W$45-$B$106)*1+(50&gt;Projects!$W$2:$W$45-$B$106)*(50&lt;=Projects!$W$2:$W$45+$B$17)*$B$107)*((Projects!$B$2:$B$45&gt;=$B$12)*$B$9+(Projects!$B$2:$B$45&lt;$B$12)*(Projects!$B$2:$B$45&gt;=$B$13)*$B$10+(Projects!$B$2:$B$45&lt;$B$13)*$B$11))</f>
        <v>0</v>
      </c>
      <c r="BC40" s="363" t="n">
        <f aca="false">SUMPRODUCT((Projects!$G$2:$G$45="Yes")*(51&gt;=Projects!$C$2:$C$45-$B$16)*((51&lt;=Projects!$W$2:$W$45-$B$106)*1+(51&gt;Projects!$W$2:$W$45-$B$106)*(51&lt;=Projects!$W$2:$W$45+$B$17)*$B$107)*((Projects!$B$2:$B$45&gt;=$B$12)*$B$9+(Projects!$B$2:$B$45&lt;$B$12)*(Projects!$B$2:$B$45&gt;=$B$13)*$B$10+(Projects!$B$2:$B$45&lt;$B$13)*$B$11))</f>
        <v>0</v>
      </c>
      <c r="BD40" s="363" t="n">
        <f aca="false">SUMPRODUCT((Projects!$G$2:$G$45="Yes")*(52&gt;=Projects!$C$2:$C$45-$B$16)*((52&lt;=Projects!$W$2:$W$45-$B$106)*1+(52&gt;Projects!$W$2:$W$45-$B$106)*(52&lt;=Projects!$W$2:$W$45+$B$17)*$B$107)*((Projects!$B$2:$B$45&gt;=$B$12)*$B$9+(Projects!$B$2:$B$45&lt;$B$12)*(Projects!$B$2:$B$45&gt;=$B$13)*$B$10+(Projects!$B$2:$B$45&lt;$B$13)*$B$11))</f>
        <v>0</v>
      </c>
      <c r="BE40" s="363" t="n">
        <f aca="false">SUMPRODUCT((Projects!$G$2:$G$45="Yes")*(53&gt;=Projects!$C$2:$C$45-$B$16)*((53&lt;=Projects!$W$2:$W$45-$B$106)*1+(53&gt;Projects!$W$2:$W$45-$B$106)*(53&lt;=Projects!$W$2:$W$45+$B$17)*$B$107)*((Projects!$B$2:$B$45&gt;=$B$12)*$B$9+(Projects!$B$2:$B$45&lt;$B$12)*(Projects!$B$2:$B$45&gt;=$B$13)*$B$10+(Projects!$B$2:$B$45&lt;$B$13)*$B$11))</f>
        <v>0</v>
      </c>
      <c r="BF40" s="363" t="n">
        <f aca="false">SUMPRODUCT((Projects!$G$2:$G$45="Yes")*(54&gt;=Projects!$C$2:$C$45-$B$16)*((54&lt;=Projects!$W$2:$W$45-$B$106)*1+(54&gt;Projects!$W$2:$W$45-$B$106)*(54&lt;=Projects!$W$2:$W$45+$B$17)*$B$107)*((Projects!$B$2:$B$45&gt;=$B$12)*$B$9+(Projects!$B$2:$B$45&lt;$B$12)*(Projects!$B$2:$B$45&gt;=$B$13)*$B$10+(Projects!$B$2:$B$45&lt;$B$13)*$B$11))</f>
        <v>0</v>
      </c>
      <c r="BG40" s="363" t="n">
        <f aca="false">SUMPRODUCT((Projects!$G$2:$G$45="Yes")*(55&gt;=Projects!$C$2:$C$45-$B$16)*((55&lt;=Projects!$W$2:$W$45-$B$106)*1+(55&gt;Projects!$W$2:$W$45-$B$106)*(55&lt;=Projects!$W$2:$W$45+$B$17)*$B$107)*((Projects!$B$2:$B$45&gt;=$B$12)*$B$9+(Projects!$B$2:$B$45&lt;$B$12)*(Projects!$B$2:$B$45&gt;=$B$13)*$B$10+(Projects!$B$2:$B$45&lt;$B$13)*$B$11))</f>
        <v>0</v>
      </c>
      <c r="BH40" s="363" t="n">
        <f aca="false">SUMPRODUCT((Projects!$G$2:$G$45="Yes")*(56&gt;=Projects!$C$2:$C$45-$B$16)*((56&lt;=Projects!$W$2:$W$45-$B$106)*1+(56&gt;Projects!$W$2:$W$45-$B$106)*(56&lt;=Projects!$W$2:$W$45+$B$17)*$B$107)*((Projects!$B$2:$B$45&gt;=$B$12)*$B$9+(Projects!$B$2:$B$45&lt;$B$12)*(Projects!$B$2:$B$45&gt;=$B$13)*$B$10+(Projects!$B$2:$B$45&lt;$B$13)*$B$11))</f>
        <v>0</v>
      </c>
      <c r="BI40" s="363" t="n">
        <f aca="false">SUMPRODUCT((Projects!$G$2:$G$45="Yes")*(57&gt;=Projects!$C$2:$C$45-$B$16)*((57&lt;=Projects!$W$2:$W$45-$B$106)*1+(57&gt;Projects!$W$2:$W$45-$B$106)*(57&lt;=Projects!$W$2:$W$45+$B$17)*$B$107)*((Projects!$B$2:$B$45&gt;=$B$12)*$B$9+(Projects!$B$2:$B$45&lt;$B$12)*(Projects!$B$2:$B$45&gt;=$B$13)*$B$10+(Projects!$B$2:$B$45&lt;$B$13)*$B$11))</f>
        <v>0</v>
      </c>
      <c r="BJ40" s="363" t="n">
        <f aca="false">SUMPRODUCT((Projects!$G$2:$G$45="Yes")*(58&gt;=Projects!$C$2:$C$45-$B$16)*((58&lt;=Projects!$W$2:$W$45-$B$106)*1+(58&gt;Projects!$W$2:$W$45-$B$106)*(58&lt;=Projects!$W$2:$W$45+$B$17)*$B$107)*((Projects!$B$2:$B$45&gt;=$B$12)*$B$9+(Projects!$B$2:$B$45&lt;$B$12)*(Projects!$B$2:$B$45&gt;=$B$13)*$B$10+(Projects!$B$2:$B$45&lt;$B$13)*$B$11))</f>
        <v>0</v>
      </c>
      <c r="BK40" s="363" t="n">
        <f aca="false">SUMPRODUCT((Projects!$G$2:$G$45="Yes")*(59&gt;=Projects!$C$2:$C$45-$B$16)*((59&lt;=Projects!$W$2:$W$45-$B$106)*1+(59&gt;Projects!$W$2:$W$45-$B$106)*(59&lt;=Projects!$W$2:$W$45+$B$17)*$B$107)*((Projects!$B$2:$B$45&gt;=$B$12)*$B$9+(Projects!$B$2:$B$45&lt;$B$12)*(Projects!$B$2:$B$45&gt;=$B$13)*$B$10+(Projects!$B$2:$B$45&lt;$B$13)*$B$11))</f>
        <v>0</v>
      </c>
      <c r="BL40" s="363" t="n">
        <f aca="false">SUMPRODUCT((Projects!$G$2:$G$45="Yes")*(60&gt;=Projects!$C$2:$C$45-$B$16)*((60&lt;=Projects!$W$2:$W$45-$B$106)*1+(60&gt;Projects!$W$2:$W$45-$B$106)*(60&lt;=Projects!$W$2:$W$45+$B$17)*$B$107)*((Projects!$B$2:$B$45&gt;=$B$12)*$B$9+(Projects!$B$2:$B$45&lt;$B$12)*(Projects!$B$2:$B$45&gt;=$B$13)*$B$10+(Projects!$B$2:$B$45&lt;$B$13)*$B$11))</f>
        <v>0</v>
      </c>
      <c r="BM40" s="363" t="n">
        <f aca="false">SUMPRODUCT((Projects!$G$2:$G$45="Yes")*(61&gt;=Projects!$C$2:$C$45-$B$16)*((61&lt;=Projects!$W$2:$W$45-$B$106)*1+(61&gt;Projects!$W$2:$W$45-$B$106)*(61&lt;=Projects!$W$2:$W$45+$B$17)*$B$107)*((Projects!$B$2:$B$45&gt;=$B$12)*$B$9+(Projects!$B$2:$B$45&lt;$B$12)*(Projects!$B$2:$B$45&gt;=$B$13)*$B$10+(Projects!$B$2:$B$45&lt;$B$13)*$B$11))</f>
        <v>0</v>
      </c>
      <c r="BN40" s="363" t="n">
        <f aca="false">SUMPRODUCT((Projects!$G$2:$G$45="Yes")*(62&gt;=Projects!$C$2:$C$45-$B$16)*((62&lt;=Projects!$W$2:$W$45-$B$106)*1+(62&gt;Projects!$W$2:$W$45-$B$106)*(62&lt;=Projects!$W$2:$W$45+$B$17)*$B$107)*((Projects!$B$2:$B$45&gt;=$B$12)*$B$9+(Projects!$B$2:$B$45&lt;$B$12)*(Projects!$B$2:$B$45&gt;=$B$13)*$B$10+(Projects!$B$2:$B$45&lt;$B$13)*$B$11))</f>
        <v>0</v>
      </c>
      <c r="BO40" s="363" t="n">
        <f aca="false">SUMPRODUCT((Projects!$G$2:$G$45="Yes")*(63&gt;=Projects!$C$2:$C$45-$B$16)*((63&lt;=Projects!$W$2:$W$45-$B$106)*1+(63&gt;Projects!$W$2:$W$45-$B$106)*(63&lt;=Projects!$W$2:$W$45+$B$17)*$B$107)*((Projects!$B$2:$B$45&gt;=$B$12)*$B$9+(Projects!$B$2:$B$45&lt;$B$12)*(Projects!$B$2:$B$45&gt;=$B$13)*$B$10+(Projects!$B$2:$B$45&lt;$B$13)*$B$11))</f>
        <v>0</v>
      </c>
      <c r="BP40" s="363" t="n">
        <f aca="false">SUMPRODUCT((Projects!$G$2:$G$45="Yes")*(64&gt;=Projects!$C$2:$C$45-$B$16)*((64&lt;=Projects!$W$2:$W$45-$B$106)*1+(64&gt;Projects!$W$2:$W$45-$B$106)*(64&lt;=Projects!$W$2:$W$45+$B$17)*$B$107)*((Projects!$B$2:$B$45&gt;=$B$12)*$B$9+(Projects!$B$2:$B$45&lt;$B$12)*(Projects!$B$2:$B$45&gt;=$B$13)*$B$10+(Projects!$B$2:$B$45&lt;$B$13)*$B$11))</f>
        <v>0</v>
      </c>
      <c r="BQ40" s="363" t="n">
        <f aca="false">SUMPRODUCT((Projects!$G$2:$G$45="Yes")*(65&gt;=Projects!$C$2:$C$45-$B$16)*((65&lt;=Projects!$W$2:$W$45-$B$106)*1+(65&gt;Projects!$W$2:$W$45-$B$106)*(65&lt;=Projects!$W$2:$W$45+$B$17)*$B$107)*((Projects!$B$2:$B$45&gt;=$B$12)*$B$9+(Projects!$B$2:$B$45&lt;$B$12)*(Projects!$B$2:$B$45&gt;=$B$13)*$B$10+(Projects!$B$2:$B$45&lt;$B$13)*$B$11))</f>
        <v>0</v>
      </c>
      <c r="BR40" s="363" t="n">
        <f aca="false">SUMPRODUCT((Projects!$G$2:$G$45="Yes")*(66&gt;=Projects!$C$2:$C$45-$B$16)*((66&lt;=Projects!$W$2:$W$45-$B$106)*1+(66&gt;Projects!$W$2:$W$45-$B$106)*(66&lt;=Projects!$W$2:$W$45+$B$17)*$B$107)*((Projects!$B$2:$B$45&gt;=$B$12)*$B$9+(Projects!$B$2:$B$45&lt;$B$12)*(Projects!$B$2:$B$45&gt;=$B$13)*$B$10+(Projects!$B$2:$B$45&lt;$B$13)*$B$11))</f>
        <v>0</v>
      </c>
      <c r="BS40" s="363" t="n">
        <f aca="false">SUMPRODUCT((Projects!$G$2:$G$45="Yes")*(67&gt;=Projects!$C$2:$C$45-$B$16)*((67&lt;=Projects!$W$2:$W$45-$B$106)*1+(67&gt;Projects!$W$2:$W$45-$B$106)*(67&lt;=Projects!$W$2:$W$45+$B$17)*$B$107)*((Projects!$B$2:$B$45&gt;=$B$12)*$B$9+(Projects!$B$2:$B$45&lt;$B$12)*(Projects!$B$2:$B$45&gt;=$B$13)*$B$10+(Projects!$B$2:$B$45&lt;$B$13)*$B$11))</f>
        <v>0</v>
      </c>
      <c r="BT40" s="363" t="n">
        <f aca="false">SUMPRODUCT((Projects!$G$2:$G$45="Yes")*(68&gt;=Projects!$C$2:$C$45-$B$16)*((68&lt;=Projects!$W$2:$W$45-$B$106)*1+(68&gt;Projects!$W$2:$W$45-$B$106)*(68&lt;=Projects!$W$2:$W$45+$B$17)*$B$107)*((Projects!$B$2:$B$45&gt;=$B$12)*$B$9+(Projects!$B$2:$B$45&lt;$B$12)*(Projects!$B$2:$B$45&gt;=$B$13)*$B$10+(Projects!$B$2:$B$45&lt;$B$13)*$B$11))</f>
        <v>0</v>
      </c>
      <c r="BU40" s="363" t="n">
        <f aca="false">SUMPRODUCT((Projects!$G$2:$G$45="Yes")*(69&gt;=Projects!$C$2:$C$45-$B$16)*((69&lt;=Projects!$W$2:$W$45-$B$106)*1+(69&gt;Projects!$W$2:$W$45-$B$106)*(69&lt;=Projects!$W$2:$W$45+$B$17)*$B$107)*((Projects!$B$2:$B$45&gt;=$B$12)*$B$9+(Projects!$B$2:$B$45&lt;$B$12)*(Projects!$B$2:$B$45&gt;=$B$13)*$B$10+(Projects!$B$2:$B$45&lt;$B$13)*$B$11))</f>
        <v>0</v>
      </c>
      <c r="BV40" s="363" t="n">
        <f aca="false">SUMPRODUCT((Projects!$G$2:$G$45="Yes")*(70&gt;=Projects!$C$2:$C$45-$B$16)*((70&lt;=Projects!$W$2:$W$45-$B$106)*1+(70&gt;Projects!$W$2:$W$45-$B$106)*(70&lt;=Projects!$W$2:$W$45+$B$17)*$B$107)*((Projects!$B$2:$B$45&gt;=$B$12)*$B$9+(Projects!$B$2:$B$45&lt;$B$12)*(Projects!$B$2:$B$45&gt;=$B$13)*$B$10+(Projects!$B$2:$B$45&lt;$B$13)*$B$11))</f>
        <v>0</v>
      </c>
      <c r="BW40" s="363" t="n">
        <f aca="false">SUMPRODUCT((Projects!$G$2:$G$45="Yes")*(71&gt;=Projects!$C$2:$C$45-$B$16)*((71&lt;=Projects!$W$2:$W$45-$B$106)*1+(71&gt;Projects!$W$2:$W$45-$B$106)*(71&lt;=Projects!$W$2:$W$45+$B$17)*$B$107)*((Projects!$B$2:$B$45&gt;=$B$12)*$B$9+(Projects!$B$2:$B$45&lt;$B$12)*(Projects!$B$2:$B$45&gt;=$B$13)*$B$10+(Projects!$B$2:$B$45&lt;$B$13)*$B$11))</f>
        <v>0</v>
      </c>
      <c r="BX40" s="363" t="n">
        <f aca="false">SUMPRODUCT((Projects!$G$2:$G$45="Yes")*(72&gt;=Projects!$C$2:$C$45-$B$16)*((72&lt;=Projects!$W$2:$W$45-$B$106)*1+(72&gt;Projects!$W$2:$W$45-$B$106)*(72&lt;=Projects!$W$2:$W$45+$B$17)*$B$107)*((Projects!$B$2:$B$45&gt;=$B$12)*$B$9+(Projects!$B$2:$B$45&lt;$B$12)*(Projects!$B$2:$B$45&gt;=$B$13)*$B$10+(Projects!$B$2:$B$45&lt;$B$13)*$B$11))</f>
        <v>0</v>
      </c>
      <c r="BY40" s="363" t="n">
        <f aca="false">SUMPRODUCT((Projects!$G$2:$G$45="Yes")*(73&gt;=Projects!$C$2:$C$45-$B$16)*((73&lt;=Projects!$W$2:$W$45-$B$106)*1+(73&gt;Projects!$W$2:$W$45-$B$106)*(73&lt;=Projects!$W$2:$W$45+$B$17)*$B$107)*((Projects!$B$2:$B$45&gt;=$B$12)*$B$9+(Projects!$B$2:$B$45&lt;$B$12)*(Projects!$B$2:$B$45&gt;=$B$13)*$B$10+(Projects!$B$2:$B$45&lt;$B$13)*$B$11))</f>
        <v>0</v>
      </c>
      <c r="BZ40" s="363" t="n">
        <f aca="false">SUMPRODUCT((Projects!$G$2:$G$45="Yes")*(74&gt;=Projects!$C$2:$C$45-$B$16)*((74&lt;=Projects!$W$2:$W$45-$B$106)*1+(74&gt;Projects!$W$2:$W$45-$B$106)*(74&lt;=Projects!$W$2:$W$45+$B$17)*$B$107)*((Projects!$B$2:$B$45&gt;=$B$12)*$B$9+(Projects!$B$2:$B$45&lt;$B$12)*(Projects!$B$2:$B$45&gt;=$B$13)*$B$10+(Projects!$B$2:$B$45&lt;$B$13)*$B$11))</f>
        <v>0</v>
      </c>
      <c r="CA40" s="363" t="n">
        <f aca="false">SUMPRODUCT((Projects!$G$2:$G$45="Yes")*(75&gt;=Projects!$C$2:$C$45-$B$16)*((75&lt;=Projects!$W$2:$W$45-$B$106)*1+(75&gt;Projects!$W$2:$W$45-$B$106)*(75&lt;=Projects!$W$2:$W$45+$B$17)*$B$107)*((Projects!$B$2:$B$45&gt;=$B$12)*$B$9+(Projects!$B$2:$B$45&lt;$B$12)*(Projects!$B$2:$B$45&gt;=$B$13)*$B$10+(Projects!$B$2:$B$45&lt;$B$13)*$B$11))</f>
        <v>0</v>
      </c>
      <c r="CB40" s="363" t="n">
        <f aca="false">SUMPRODUCT((Projects!$G$2:$G$45="Yes")*(76&gt;=Projects!$C$2:$C$45-$B$16)*((76&lt;=Projects!$W$2:$W$45-$B$106)*1+(76&gt;Projects!$W$2:$W$45-$B$106)*(76&lt;=Projects!$W$2:$W$45+$B$17)*$B$107)*((Projects!$B$2:$B$45&gt;=$B$12)*$B$9+(Projects!$B$2:$B$45&lt;$B$12)*(Projects!$B$2:$B$45&gt;=$B$13)*$B$10+(Projects!$B$2:$B$45&lt;$B$13)*$B$11))</f>
        <v>0</v>
      </c>
      <c r="CC40" s="363" t="n">
        <f aca="false">SUMPRODUCT((Projects!$G$2:$G$45="Yes")*(77&gt;=Projects!$C$2:$C$45-$B$16)*((77&lt;=Projects!$W$2:$W$45-$B$106)*1+(77&gt;Projects!$W$2:$W$45-$B$106)*(77&lt;=Projects!$W$2:$W$45+$B$17)*$B$107)*((Projects!$B$2:$B$45&gt;=$B$12)*$B$9+(Projects!$B$2:$B$45&lt;$B$12)*(Projects!$B$2:$B$45&gt;=$B$13)*$B$10+(Projects!$B$2:$B$45&lt;$B$13)*$B$11))</f>
        <v>0</v>
      </c>
      <c r="CD40" s="363" t="n">
        <f aca="false">SUMPRODUCT((Projects!$G$2:$G$45="Yes")*(78&gt;=Projects!$C$2:$C$45-$B$16)*((78&lt;=Projects!$W$2:$W$45-$B$106)*1+(78&gt;Projects!$W$2:$W$45-$B$106)*(78&lt;=Projects!$W$2:$W$45+$B$17)*$B$107)*((Projects!$B$2:$B$45&gt;=$B$12)*$B$9+(Projects!$B$2:$B$45&lt;$B$12)*(Projects!$B$2:$B$45&gt;=$B$13)*$B$10+(Projects!$B$2:$B$45&lt;$B$13)*$B$11))</f>
        <v>0</v>
      </c>
      <c r="CE40" s="363" t="n">
        <f aca="false">SUMPRODUCT((Projects!$G$2:$G$45="Yes")*(79&gt;=Projects!$C$2:$C$45-$B$16)*((79&lt;=Projects!$W$2:$W$45-$B$106)*1+(79&gt;Projects!$W$2:$W$45-$B$106)*(79&lt;=Projects!$W$2:$W$45+$B$17)*$B$107)*((Projects!$B$2:$B$45&gt;=$B$12)*$B$9+(Projects!$B$2:$B$45&lt;$B$12)*(Projects!$B$2:$B$45&gt;=$B$13)*$B$10+(Projects!$B$2:$B$45&lt;$B$13)*$B$11))</f>
        <v>0</v>
      </c>
      <c r="CF40" s="363" t="n">
        <f aca="false">SUMPRODUCT((Projects!$G$2:$G$45="Yes")*(80&gt;=Projects!$C$2:$C$45-$B$16)*((80&lt;=Projects!$W$2:$W$45-$B$106)*1+(80&gt;Projects!$W$2:$W$45-$B$106)*(80&lt;=Projects!$W$2:$W$45+$B$17)*$B$107)*((Projects!$B$2:$B$45&gt;=$B$12)*$B$9+(Projects!$B$2:$B$45&lt;$B$12)*(Projects!$B$2:$B$45&gt;=$B$13)*$B$10+(Projects!$B$2:$B$45&lt;$B$13)*$B$11))</f>
        <v>0</v>
      </c>
      <c r="CG40" s="363" t="n">
        <f aca="false">SUMPRODUCT((Projects!$G$2:$G$45="Yes")*(81&gt;=Projects!$C$2:$C$45-$B$16)*((81&lt;=Projects!$W$2:$W$45-$B$106)*1+(81&gt;Projects!$W$2:$W$45-$B$106)*(81&lt;=Projects!$W$2:$W$45+$B$17)*$B$107)*((Projects!$B$2:$B$45&gt;=$B$12)*$B$9+(Projects!$B$2:$B$45&lt;$B$12)*(Projects!$B$2:$B$45&gt;=$B$13)*$B$10+(Projects!$B$2:$B$45&lt;$B$13)*$B$11))</f>
        <v>0</v>
      </c>
      <c r="CH40" s="363" t="n">
        <f aca="false">SUMPRODUCT((Projects!$G$2:$G$45="Yes")*(82&gt;=Projects!$C$2:$C$45-$B$16)*((82&lt;=Projects!$W$2:$W$45-$B$106)*1+(82&gt;Projects!$W$2:$W$45-$B$106)*(82&lt;=Projects!$W$2:$W$45+$B$17)*$B$107)*((Projects!$B$2:$B$45&gt;=$B$12)*$B$9+(Projects!$B$2:$B$45&lt;$B$12)*(Projects!$B$2:$B$45&gt;=$B$13)*$B$10+(Projects!$B$2:$B$45&lt;$B$13)*$B$11))</f>
        <v>0</v>
      </c>
      <c r="CI40" s="363" t="n">
        <f aca="false">SUMPRODUCT((Projects!$G$2:$G$45="Yes")*(83&gt;=Projects!$C$2:$C$45-$B$16)*((83&lt;=Projects!$W$2:$W$45-$B$106)*1+(83&gt;Projects!$W$2:$W$45-$B$106)*(83&lt;=Projects!$W$2:$W$45+$B$17)*$B$107)*((Projects!$B$2:$B$45&gt;=$B$12)*$B$9+(Projects!$B$2:$B$45&lt;$B$12)*(Projects!$B$2:$B$45&gt;=$B$13)*$B$10+(Projects!$B$2:$B$45&lt;$B$13)*$B$11))</f>
        <v>0</v>
      </c>
      <c r="CJ40" s="363" t="n">
        <f aca="false">SUMPRODUCT((Projects!$G$2:$G$45="Yes")*(84&gt;=Projects!$C$2:$C$45-$B$16)*((84&lt;=Projects!$W$2:$W$45-$B$106)*1+(84&gt;Projects!$W$2:$W$45-$B$106)*(84&lt;=Projects!$W$2:$W$45+$B$17)*$B$107)*((Projects!$B$2:$B$45&gt;=$B$12)*$B$9+(Projects!$B$2:$B$45&lt;$B$12)*(Projects!$B$2:$B$45&gt;=$B$13)*$B$10+(Projects!$B$2:$B$45&lt;$B$13)*$B$11))</f>
        <v>0</v>
      </c>
      <c r="CK40" s="363" t="n">
        <f aca="false">SUMPRODUCT((Projects!$G$2:$G$45="Yes")*(85&gt;=Projects!$C$2:$C$45-$B$16)*((85&lt;=Projects!$W$2:$W$45-$B$106)*1+(85&gt;Projects!$W$2:$W$45-$B$106)*(85&lt;=Projects!$W$2:$W$45+$B$17)*$B$107)*((Projects!$B$2:$B$45&gt;=$B$12)*$B$9+(Projects!$B$2:$B$45&lt;$B$12)*(Projects!$B$2:$B$45&gt;=$B$13)*$B$10+(Projects!$B$2:$B$45&lt;$B$13)*$B$11))</f>
        <v>0</v>
      </c>
      <c r="CL40" s="363" t="n">
        <f aca="false">SUMPRODUCT((Projects!$G$2:$G$45="Yes")*(86&gt;=Projects!$C$2:$C$45-$B$16)*((86&lt;=Projects!$W$2:$W$45-$B$106)*1+(86&gt;Projects!$W$2:$W$45-$B$106)*(86&lt;=Projects!$W$2:$W$45+$B$17)*$B$107)*((Projects!$B$2:$B$45&gt;=$B$12)*$B$9+(Projects!$B$2:$B$45&lt;$B$12)*(Projects!$B$2:$B$45&gt;=$B$13)*$B$10+(Projects!$B$2:$B$45&lt;$B$13)*$B$11))</f>
        <v>0</v>
      </c>
      <c r="CM40" s="363" t="n">
        <f aca="false">SUMPRODUCT((Projects!$G$2:$G$45="Yes")*(87&gt;=Projects!$C$2:$C$45-$B$16)*((87&lt;=Projects!$W$2:$W$45-$B$106)*1+(87&gt;Projects!$W$2:$W$45-$B$106)*(87&lt;=Projects!$W$2:$W$45+$B$17)*$B$107)*((Projects!$B$2:$B$45&gt;=$B$12)*$B$9+(Projects!$B$2:$B$45&lt;$B$12)*(Projects!$B$2:$B$45&gt;=$B$13)*$B$10+(Projects!$B$2:$B$45&lt;$B$13)*$B$11))</f>
        <v>0</v>
      </c>
      <c r="CN40" s="363" t="n">
        <f aca="false">SUMPRODUCT((Projects!$G$2:$G$45="Yes")*(88&gt;=Projects!$C$2:$C$45-$B$16)*((88&lt;=Projects!$W$2:$W$45-$B$106)*1+(88&gt;Projects!$W$2:$W$45-$B$106)*(88&lt;=Projects!$W$2:$W$45+$B$17)*$B$107)*((Projects!$B$2:$B$45&gt;=$B$12)*$B$9+(Projects!$B$2:$B$45&lt;$B$12)*(Projects!$B$2:$B$45&gt;=$B$13)*$B$10+(Projects!$B$2:$B$45&lt;$B$13)*$B$11))</f>
        <v>0</v>
      </c>
      <c r="CO40" s="363" t="n">
        <f aca="false">SUMPRODUCT((Projects!$G$2:$G$45="Yes")*(89&gt;=Projects!$C$2:$C$45-$B$16)*((89&lt;=Projects!$W$2:$W$45-$B$106)*1+(89&gt;Projects!$W$2:$W$45-$B$106)*(89&lt;=Projects!$W$2:$W$45+$B$17)*$B$107)*((Projects!$B$2:$B$45&gt;=$B$12)*$B$9+(Projects!$B$2:$B$45&lt;$B$12)*(Projects!$B$2:$B$45&gt;=$B$13)*$B$10+(Projects!$B$2:$B$45&lt;$B$13)*$B$11))</f>
        <v>0</v>
      </c>
      <c r="CP40" s="363" t="n">
        <f aca="false">SUMPRODUCT((Projects!$G$2:$G$45="Yes")*(90&gt;=Projects!$C$2:$C$45-$B$16)*((90&lt;=Projects!$W$2:$W$45-$B$106)*1+(90&gt;Projects!$W$2:$W$45-$B$106)*(90&lt;=Projects!$W$2:$W$45+$B$17)*$B$107)*((Projects!$B$2:$B$45&gt;=$B$12)*$B$9+(Projects!$B$2:$B$45&lt;$B$12)*(Projects!$B$2:$B$45&gt;=$B$13)*$B$10+(Projects!$B$2:$B$45&lt;$B$13)*$B$11))</f>
        <v>0</v>
      </c>
      <c r="CQ40" s="363" t="n">
        <f aca="false">SUMPRODUCT((Projects!$G$2:$G$45="Yes")*(91&gt;=Projects!$C$2:$C$45-$B$16)*((91&lt;=Projects!$W$2:$W$45-$B$106)*1+(91&gt;Projects!$W$2:$W$45-$B$106)*(91&lt;=Projects!$W$2:$W$45+$B$17)*$B$107)*((Projects!$B$2:$B$45&gt;=$B$12)*$B$9+(Projects!$B$2:$B$45&lt;$B$12)*(Projects!$B$2:$B$45&gt;=$B$13)*$B$10+(Projects!$B$2:$B$45&lt;$B$13)*$B$11))</f>
        <v>0</v>
      </c>
      <c r="CR40" s="363" t="n">
        <f aca="false">SUMPRODUCT((Projects!$G$2:$G$45="Yes")*(92&gt;=Projects!$C$2:$C$45-$B$16)*((92&lt;=Projects!$W$2:$W$45-$B$106)*1+(92&gt;Projects!$W$2:$W$45-$B$106)*(92&lt;=Projects!$W$2:$W$45+$B$17)*$B$107)*((Projects!$B$2:$B$45&gt;=$B$12)*$B$9+(Projects!$B$2:$B$45&lt;$B$12)*(Projects!$B$2:$B$45&gt;=$B$13)*$B$10+(Projects!$B$2:$B$45&lt;$B$13)*$B$11))</f>
        <v>0</v>
      </c>
      <c r="CS40" s="363" t="n">
        <f aca="false">SUMPRODUCT((Projects!$G$2:$G$45="Yes")*(93&gt;=Projects!$C$2:$C$45-$B$16)*((93&lt;=Projects!$W$2:$W$45-$B$106)*1+(93&gt;Projects!$W$2:$W$45-$B$106)*(93&lt;=Projects!$W$2:$W$45+$B$17)*$B$107)*((Projects!$B$2:$B$45&gt;=$B$12)*$B$9+(Projects!$B$2:$B$45&lt;$B$12)*(Projects!$B$2:$B$45&gt;=$B$13)*$B$10+(Projects!$B$2:$B$45&lt;$B$13)*$B$11))</f>
        <v>0</v>
      </c>
      <c r="CT40" s="363" t="n">
        <f aca="false">SUMPRODUCT((Projects!$G$2:$G$45="Yes")*(94&gt;=Projects!$C$2:$C$45-$B$16)*((94&lt;=Projects!$W$2:$W$45-$B$106)*1+(94&gt;Projects!$W$2:$W$45-$B$106)*(94&lt;=Projects!$W$2:$W$45+$B$17)*$B$107)*((Projects!$B$2:$B$45&gt;=$B$12)*$B$9+(Projects!$B$2:$B$45&lt;$B$12)*(Projects!$B$2:$B$45&gt;=$B$13)*$B$10+(Projects!$B$2:$B$45&lt;$B$13)*$B$11))</f>
        <v>0</v>
      </c>
      <c r="CU40" s="363" t="n">
        <f aca="false">SUMPRODUCT((Projects!$G$2:$G$45="Yes")*(95&gt;=Projects!$C$2:$C$45-$B$16)*((95&lt;=Projects!$W$2:$W$45-$B$106)*1+(95&gt;Projects!$W$2:$W$45-$B$106)*(95&lt;=Projects!$W$2:$W$45+$B$17)*$B$107)*((Projects!$B$2:$B$45&gt;=$B$12)*$B$9+(Projects!$B$2:$B$45&lt;$B$12)*(Projects!$B$2:$B$45&gt;=$B$13)*$B$10+(Projects!$B$2:$B$45&lt;$B$13)*$B$11))</f>
        <v>0</v>
      </c>
      <c r="CV40" s="363" t="n">
        <f aca="false">SUMPRODUCT((Projects!$G$2:$G$45="Yes")*(96&gt;=Projects!$C$2:$C$45-$B$16)*((96&lt;=Projects!$W$2:$W$45-$B$106)*1+(96&gt;Projects!$W$2:$W$45-$B$106)*(96&lt;=Projects!$W$2:$W$45+$B$17)*$B$107)*((Projects!$B$2:$B$45&gt;=$B$12)*$B$9+(Projects!$B$2:$B$45&lt;$B$12)*(Projects!$B$2:$B$45&gt;=$B$13)*$B$10+(Projects!$B$2:$B$45&lt;$B$13)*$B$11))</f>
        <v>0</v>
      </c>
      <c r="CW40" s="363" t="n">
        <f aca="false">SUMPRODUCT((Projects!$G$2:$G$45="Yes")*(97&gt;=Projects!$C$2:$C$45-$B$16)*((97&lt;=Projects!$W$2:$W$45-$B$106)*1+(97&gt;Projects!$W$2:$W$45-$B$106)*(97&lt;=Projects!$W$2:$W$45+$B$17)*$B$107)*((Projects!$B$2:$B$45&gt;=$B$12)*$B$9+(Projects!$B$2:$B$45&lt;$B$12)*(Projects!$B$2:$B$45&gt;=$B$13)*$B$10+(Projects!$B$2:$B$45&lt;$B$13)*$B$11))</f>
        <v>0</v>
      </c>
      <c r="CX40" s="363" t="n">
        <f aca="false">SUMPRODUCT((Projects!$G$2:$G$45="Yes")*(98&gt;=Projects!$C$2:$C$45-$B$16)*((98&lt;=Projects!$W$2:$W$45-$B$106)*1+(98&gt;Projects!$W$2:$W$45-$B$106)*(98&lt;=Projects!$W$2:$W$45+$B$17)*$B$107)*((Projects!$B$2:$B$45&gt;=$B$12)*$B$9+(Projects!$B$2:$B$45&lt;$B$12)*(Projects!$B$2:$B$45&gt;=$B$13)*$B$10+(Projects!$B$2:$B$45&lt;$B$13)*$B$11))</f>
        <v>0</v>
      </c>
      <c r="CY40" s="363" t="n">
        <f aca="false">SUMPRODUCT((Projects!$G$2:$G$45="Yes")*(99&gt;=Projects!$C$2:$C$45-$B$16)*((99&lt;=Projects!$W$2:$W$45-$B$106)*1+(99&gt;Projects!$W$2:$W$45-$B$106)*(99&lt;=Projects!$W$2:$W$45+$B$17)*$B$107)*((Projects!$B$2:$B$45&gt;=$B$12)*$B$9+(Projects!$B$2:$B$45&lt;$B$12)*(Projects!$B$2:$B$45&gt;=$B$13)*$B$10+(Projects!$B$2:$B$45&lt;$B$13)*$B$11))</f>
        <v>0</v>
      </c>
      <c r="CZ40" s="363" t="n">
        <f aca="false">SUMPRODUCT((Projects!$G$2:$G$45="Yes")*(100&gt;=Projects!$C$2:$C$45-$B$16)*((100&lt;=Projects!$W$2:$W$45-$B$106)*1+(100&gt;Projects!$W$2:$W$45-$B$106)*(100&lt;=Projects!$W$2:$W$45+$B$17)*$B$107)*((Projects!$B$2:$B$45&gt;=$B$12)*$B$9+(Projects!$B$2:$B$45&lt;$B$12)*(Projects!$B$2:$B$45&gt;=$B$13)*$B$10+(Projects!$B$2:$B$45&lt;$B$13)*$B$11))</f>
        <v>0</v>
      </c>
      <c r="DA40" s="363" t="n">
        <f aca="false">SUMPRODUCT((Projects!$G$2:$G$45="Yes")*(101&gt;=Projects!$C$2:$C$45-$B$16)*((101&lt;=Projects!$W$2:$W$45-$B$106)*1+(101&gt;Projects!$W$2:$W$45-$B$106)*(101&lt;=Projects!$W$2:$W$45+$B$17)*$B$107)*((Projects!$B$2:$B$45&gt;=$B$12)*$B$9+(Projects!$B$2:$B$45&lt;$B$12)*(Projects!$B$2:$B$45&gt;=$B$13)*$B$10+(Projects!$B$2:$B$45&lt;$B$13)*$B$11))</f>
        <v>0</v>
      </c>
      <c r="DB40" s="363" t="n">
        <f aca="false">SUMPRODUCT((Projects!$G$2:$G$45="Yes")*(102&gt;=Projects!$C$2:$C$45-$B$16)*((102&lt;=Projects!$W$2:$W$45-$B$106)*1+(102&gt;Projects!$W$2:$W$45-$B$106)*(102&lt;=Projects!$W$2:$W$45+$B$17)*$B$107)*((Projects!$B$2:$B$45&gt;=$B$12)*$B$9+(Projects!$B$2:$B$45&lt;$B$12)*(Projects!$B$2:$B$45&gt;=$B$13)*$B$10+(Projects!$B$2:$B$45&lt;$B$13)*$B$11))</f>
        <v>0</v>
      </c>
      <c r="DC40" s="363" t="n">
        <f aca="false">SUMPRODUCT((Projects!$G$2:$G$45="Yes")*(103&gt;=Projects!$C$2:$C$45-$B$16)*((103&lt;=Projects!$W$2:$W$45-$B$106)*1+(103&gt;Projects!$W$2:$W$45-$B$106)*(103&lt;=Projects!$W$2:$W$45+$B$17)*$B$107)*((Projects!$B$2:$B$45&gt;=$B$12)*$B$9+(Projects!$B$2:$B$45&lt;$B$12)*(Projects!$B$2:$B$45&gt;=$B$13)*$B$10+(Projects!$B$2:$B$45&lt;$B$13)*$B$11))</f>
        <v>0</v>
      </c>
      <c r="DD40" s="363" t="n">
        <f aca="false">SUMPRODUCT((Projects!$G$2:$G$45="Yes")*(104&gt;=Projects!$C$2:$C$45-$B$16)*((104&lt;=Projects!$W$2:$W$45-$B$106)*1+(104&gt;Projects!$W$2:$W$45-$B$106)*(104&lt;=Projects!$W$2:$W$45+$B$17)*$B$107)*((Projects!$B$2:$B$45&gt;=$B$12)*$B$9+(Projects!$B$2:$B$45&lt;$B$12)*(Projects!$B$2:$B$45&gt;=$B$13)*$B$10+(Projects!$B$2:$B$45&lt;$B$13)*$B$11))</f>
        <v>0</v>
      </c>
      <c r="DE40" s="363"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21" t="s">
        <v>1211</v>
      </c>
      <c r="B42" s="222"/>
      <c r="C42" s="222"/>
      <c r="D42" s="222"/>
      <c r="E42" s="222"/>
      <c r="F42" s="222"/>
    </row>
    <row r="43" customFormat="false" ht="13.5" hidden="false" customHeight="true" outlineLevel="0" collapsed="false">
      <c r="A43" s="109" t="s">
        <v>1212</v>
      </c>
      <c r="E43" s="363" t="n">
        <f aca="false">SUMPRODUCT((Personnel!$P$9:$P$100="SUPER")*(Personnel!$G$9:$G$100="Yes")*(1&gt;=Personnel!$E$9:$E$100)*((Personnel!$K$9:$K$100="")+(1&lt;=Personnel!$K$9:$K$100)&gt;0))</f>
        <v>4</v>
      </c>
      <c r="F43" s="363" t="n">
        <f aca="false">SUMPRODUCT((Personnel!$P$9:$P$100="SUPER")*(Personnel!$G$9:$G$100="Yes")*(2&gt;=Personnel!$E$9:$E$100)*((Personnel!$K$9:$K$100="")+(2&lt;=Personnel!$K$9:$K$100)&gt;0))</f>
        <v>5</v>
      </c>
      <c r="G43" s="363" t="n">
        <f aca="false">SUMPRODUCT((Personnel!$P$9:$P$100="SUPER")*(Personnel!$G$9:$G$100="Yes")*(3&gt;=Personnel!$E$9:$E$100)*((Personnel!$K$9:$K$100="")+(3&lt;=Personnel!$K$9:$K$100)&gt;0))</f>
        <v>5</v>
      </c>
      <c r="H43" s="363" t="n">
        <f aca="false">SUMPRODUCT((Personnel!$P$9:$P$100="SUPER")*(Personnel!$G$9:$G$100="Yes")*(4&gt;=Personnel!$E$9:$E$100)*((Personnel!$K$9:$K$100="")+(4&lt;=Personnel!$K$9:$K$100)&gt;0))</f>
        <v>6</v>
      </c>
      <c r="I43" s="363" t="n">
        <f aca="false">SUMPRODUCT((Personnel!$P$9:$P$100="SUPER")*(Personnel!$G$9:$G$100="Yes")*(5&gt;=Personnel!$E$9:$E$100)*((Personnel!$K$9:$K$100="")+(5&lt;=Personnel!$K$9:$K$100)&gt;0))</f>
        <v>6</v>
      </c>
      <c r="J43" s="363" t="n">
        <f aca="false">SUMPRODUCT((Personnel!$P$9:$P$100="SUPER")*(Personnel!$G$9:$G$100="Yes")*(6&gt;=Personnel!$E$9:$E$100)*((Personnel!$K$9:$K$100="")+(6&lt;=Personnel!$K$9:$K$100)&gt;0))</f>
        <v>7</v>
      </c>
      <c r="K43" s="363" t="n">
        <f aca="false">SUMPRODUCT((Personnel!$P$9:$P$100="SUPER")*(Personnel!$G$9:$G$100="Yes")*(7&gt;=Personnel!$E$9:$E$100)*((Personnel!$K$9:$K$100="")+(7&lt;=Personnel!$K$9:$K$100)&gt;0))</f>
        <v>7</v>
      </c>
      <c r="L43" s="363" t="n">
        <f aca="false">SUMPRODUCT((Personnel!$P$9:$P$100="SUPER")*(Personnel!$G$9:$G$100="Yes")*(8&gt;=Personnel!$E$9:$E$100)*((Personnel!$K$9:$K$100="")+(8&lt;=Personnel!$K$9:$K$100)&gt;0))</f>
        <v>7</v>
      </c>
      <c r="M43" s="363" t="n">
        <f aca="false">SUMPRODUCT((Personnel!$P$9:$P$100="SUPER")*(Personnel!$G$9:$G$100="Yes")*(9&gt;=Personnel!$E$9:$E$100)*((Personnel!$K$9:$K$100="")+(9&lt;=Personnel!$K$9:$K$100)&gt;0))</f>
        <v>7</v>
      </c>
      <c r="N43" s="363" t="n">
        <f aca="false">SUMPRODUCT((Personnel!$P$9:$P$100="SUPER")*(Personnel!$G$9:$G$100="Yes")*(10&gt;=Personnel!$E$9:$E$100)*((Personnel!$K$9:$K$100="")+(10&lt;=Personnel!$K$9:$K$100)&gt;0))</f>
        <v>7</v>
      </c>
      <c r="O43" s="363" t="n">
        <f aca="false">SUMPRODUCT((Personnel!$P$9:$P$100="SUPER")*(Personnel!$G$9:$G$100="Yes")*(11&gt;=Personnel!$E$9:$E$100)*((Personnel!$K$9:$K$100="")+(11&lt;=Personnel!$K$9:$K$100)&gt;0))</f>
        <v>7</v>
      </c>
      <c r="P43" s="363" t="n">
        <f aca="false">SUMPRODUCT((Personnel!$P$9:$P$100="SUPER")*(Personnel!$G$9:$G$100="Yes")*(12&gt;=Personnel!$E$9:$E$100)*((Personnel!$K$9:$K$100="")+(12&lt;=Personnel!$K$9:$K$100)&gt;0))</f>
        <v>7</v>
      </c>
      <c r="Q43" s="363" t="n">
        <f aca="false">SUMPRODUCT((Personnel!$P$9:$P$100="SUPER")*(Personnel!$G$9:$G$100="Yes")*(13&gt;=Personnel!$E$9:$E$100)*((Personnel!$K$9:$K$100="")+(13&lt;=Personnel!$K$9:$K$100)&gt;0))</f>
        <v>7</v>
      </c>
      <c r="R43" s="363" t="n">
        <f aca="false">SUMPRODUCT((Personnel!$P$9:$P$100="SUPER")*(Personnel!$G$9:$G$100="Yes")*(14&gt;=Personnel!$E$9:$E$100)*((Personnel!$K$9:$K$100="")+(14&lt;=Personnel!$K$9:$K$100)&gt;0))</f>
        <v>7</v>
      </c>
      <c r="S43" s="363" t="n">
        <f aca="false">SUMPRODUCT((Personnel!$P$9:$P$100="SUPER")*(Personnel!$G$9:$G$100="Yes")*(15&gt;=Personnel!$E$9:$E$100)*((Personnel!$K$9:$K$100="")+(15&lt;=Personnel!$K$9:$K$100)&gt;0))</f>
        <v>7</v>
      </c>
      <c r="T43" s="363" t="n">
        <f aca="false">SUMPRODUCT((Personnel!$P$9:$P$100="SUPER")*(Personnel!$G$9:$G$100="Yes")*(16&gt;=Personnel!$E$9:$E$100)*((Personnel!$K$9:$K$100="")+(16&lt;=Personnel!$K$9:$K$100)&gt;0))</f>
        <v>7</v>
      </c>
      <c r="U43" s="363" t="n">
        <f aca="false">SUMPRODUCT((Personnel!$P$9:$P$100="SUPER")*(Personnel!$G$9:$G$100="Yes")*(17&gt;=Personnel!$E$9:$E$100)*((Personnel!$K$9:$K$100="")+(17&lt;=Personnel!$K$9:$K$100)&gt;0))</f>
        <v>7</v>
      </c>
      <c r="V43" s="363" t="n">
        <f aca="false">SUMPRODUCT((Personnel!$P$9:$P$100="SUPER")*(Personnel!$G$9:$G$100="Yes")*(18&gt;=Personnel!$E$9:$E$100)*((Personnel!$K$9:$K$100="")+(18&lt;=Personnel!$K$9:$K$100)&gt;0))</f>
        <v>7</v>
      </c>
      <c r="W43" s="363" t="n">
        <f aca="false">SUMPRODUCT((Personnel!$P$9:$P$100="SUPER")*(Personnel!$G$9:$G$100="Yes")*(19&gt;=Personnel!$E$9:$E$100)*((Personnel!$K$9:$K$100="")+(19&lt;=Personnel!$K$9:$K$100)&gt;0))</f>
        <v>7</v>
      </c>
      <c r="X43" s="363" t="n">
        <f aca="false">SUMPRODUCT((Personnel!$P$9:$P$100="SUPER")*(Personnel!$G$9:$G$100="Yes")*(20&gt;=Personnel!$E$9:$E$100)*((Personnel!$K$9:$K$100="")+(20&lt;=Personnel!$K$9:$K$100)&gt;0))</f>
        <v>7</v>
      </c>
      <c r="Y43" s="363" t="n">
        <f aca="false">SUMPRODUCT((Personnel!$P$9:$P$100="SUPER")*(Personnel!$G$9:$G$100="Yes")*(21&gt;=Personnel!$E$9:$E$100)*((Personnel!$K$9:$K$100="")+(21&lt;=Personnel!$K$9:$K$100)&gt;0))</f>
        <v>7</v>
      </c>
      <c r="Z43" s="363" t="n">
        <f aca="false">SUMPRODUCT((Personnel!$P$9:$P$100="SUPER")*(Personnel!$G$9:$G$100="Yes")*(22&gt;=Personnel!$E$9:$E$100)*((Personnel!$K$9:$K$100="")+(22&lt;=Personnel!$K$9:$K$100)&gt;0))</f>
        <v>7</v>
      </c>
      <c r="AA43" s="363" t="n">
        <f aca="false">SUMPRODUCT((Personnel!$P$9:$P$100="SUPER")*(Personnel!$G$9:$G$100="Yes")*(23&gt;=Personnel!$E$9:$E$100)*((Personnel!$K$9:$K$100="")+(23&lt;=Personnel!$K$9:$K$100)&gt;0))</f>
        <v>7</v>
      </c>
      <c r="AB43" s="363" t="n">
        <f aca="false">SUMPRODUCT((Personnel!$P$9:$P$100="SUPER")*(Personnel!$G$9:$G$100="Yes")*(24&gt;=Personnel!$E$9:$E$100)*((Personnel!$K$9:$K$100="")+(24&lt;=Personnel!$K$9:$K$100)&gt;0))</f>
        <v>7</v>
      </c>
      <c r="AC43" s="363" t="n">
        <f aca="false">SUMPRODUCT((Personnel!$P$9:$P$100="SUPER")*(Personnel!$G$9:$G$100="Yes")*(25&gt;=Personnel!$E$9:$E$100)*((Personnel!$K$9:$K$100="")+(25&lt;=Personnel!$K$9:$K$100)&gt;0))</f>
        <v>7</v>
      </c>
      <c r="AD43" s="363" t="n">
        <f aca="false">SUMPRODUCT((Personnel!$P$9:$P$100="SUPER")*(Personnel!$G$9:$G$100="Yes")*(26&gt;=Personnel!$E$9:$E$100)*((Personnel!$K$9:$K$100="")+(26&lt;=Personnel!$K$9:$K$100)&gt;0))</f>
        <v>7</v>
      </c>
      <c r="AE43" s="363" t="n">
        <f aca="false">SUMPRODUCT((Personnel!$P$9:$P$100="SUPER")*(Personnel!$G$9:$G$100="Yes")*(27&gt;=Personnel!$E$9:$E$100)*((Personnel!$K$9:$K$100="")+(27&lt;=Personnel!$K$9:$K$100)&gt;0))</f>
        <v>7</v>
      </c>
      <c r="AF43" s="363" t="n">
        <f aca="false">SUMPRODUCT((Personnel!$P$9:$P$100="SUPER")*(Personnel!$G$9:$G$100="Yes")*(28&gt;=Personnel!$E$9:$E$100)*((Personnel!$K$9:$K$100="")+(28&lt;=Personnel!$K$9:$K$100)&gt;0))</f>
        <v>7</v>
      </c>
      <c r="AG43" s="363" t="n">
        <f aca="false">SUMPRODUCT((Personnel!$P$9:$P$100="SUPER")*(Personnel!$G$9:$G$100="Yes")*(29&gt;=Personnel!$E$9:$E$100)*((Personnel!$K$9:$K$100="")+(29&lt;=Personnel!$K$9:$K$100)&gt;0))</f>
        <v>7</v>
      </c>
      <c r="AH43" s="363" t="n">
        <f aca="false">SUMPRODUCT((Personnel!$P$9:$P$100="SUPER")*(Personnel!$G$9:$G$100="Yes")*(30&gt;=Personnel!$E$9:$E$100)*((Personnel!$K$9:$K$100="")+(30&lt;=Personnel!$K$9:$K$100)&gt;0))</f>
        <v>7</v>
      </c>
      <c r="AI43" s="363" t="n">
        <f aca="false">SUMPRODUCT((Personnel!$P$9:$P$100="SUPER")*(Personnel!$G$9:$G$100="Yes")*(31&gt;=Personnel!$E$9:$E$100)*((Personnel!$K$9:$K$100="")+(31&lt;=Personnel!$K$9:$K$100)&gt;0))</f>
        <v>7</v>
      </c>
      <c r="AJ43" s="363" t="n">
        <f aca="false">SUMPRODUCT((Personnel!$P$9:$P$100="SUPER")*(Personnel!$G$9:$G$100="Yes")*(32&gt;=Personnel!$E$9:$E$100)*((Personnel!$K$9:$K$100="")+(32&lt;=Personnel!$K$9:$K$100)&gt;0))</f>
        <v>7</v>
      </c>
      <c r="AK43" s="363" t="n">
        <f aca="false">SUMPRODUCT((Personnel!$P$9:$P$100="SUPER")*(Personnel!$G$9:$G$100="Yes")*(33&gt;=Personnel!$E$9:$E$100)*((Personnel!$K$9:$K$100="")+(33&lt;=Personnel!$K$9:$K$100)&gt;0))</f>
        <v>7</v>
      </c>
      <c r="AL43" s="363" t="n">
        <f aca="false">SUMPRODUCT((Personnel!$P$9:$P$100="SUPER")*(Personnel!$G$9:$G$100="Yes")*(34&gt;=Personnel!$E$9:$E$100)*((Personnel!$K$9:$K$100="")+(34&lt;=Personnel!$K$9:$K$100)&gt;0))</f>
        <v>7</v>
      </c>
      <c r="AM43" s="363" t="n">
        <f aca="false">SUMPRODUCT((Personnel!$P$9:$P$100="SUPER")*(Personnel!$G$9:$G$100="Yes")*(35&gt;=Personnel!$E$9:$E$100)*((Personnel!$K$9:$K$100="")+(35&lt;=Personnel!$K$9:$K$100)&gt;0))</f>
        <v>7</v>
      </c>
      <c r="AN43" s="363" t="n">
        <f aca="false">SUMPRODUCT((Personnel!$P$9:$P$100="SUPER")*(Personnel!$G$9:$G$100="Yes")*(36&gt;=Personnel!$E$9:$E$100)*((Personnel!$K$9:$K$100="")+(36&lt;=Personnel!$K$9:$K$100)&gt;0))</f>
        <v>7</v>
      </c>
      <c r="AO43" s="363" t="n">
        <f aca="false">SUMPRODUCT((Personnel!$P$9:$P$100="SUPER")*(Personnel!$G$9:$G$100="Yes")*(37&gt;=Personnel!$E$9:$E$100)*((Personnel!$K$9:$K$100="")+(37&lt;=Personnel!$K$9:$K$100)&gt;0))</f>
        <v>7</v>
      </c>
      <c r="AP43" s="363" t="n">
        <f aca="false">SUMPRODUCT((Personnel!$P$9:$P$100="SUPER")*(Personnel!$G$9:$G$100="Yes")*(38&gt;=Personnel!$E$9:$E$100)*((Personnel!$K$9:$K$100="")+(38&lt;=Personnel!$K$9:$K$100)&gt;0))</f>
        <v>7</v>
      </c>
      <c r="AQ43" s="363" t="n">
        <f aca="false">SUMPRODUCT((Personnel!$P$9:$P$100="SUPER")*(Personnel!$G$9:$G$100="Yes")*(39&gt;=Personnel!$E$9:$E$100)*((Personnel!$K$9:$K$100="")+(39&lt;=Personnel!$K$9:$K$100)&gt;0))</f>
        <v>7</v>
      </c>
      <c r="AR43" s="363" t="n">
        <f aca="false">SUMPRODUCT((Personnel!$P$9:$P$100="SUPER")*(Personnel!$G$9:$G$100="Yes")*(40&gt;=Personnel!$E$9:$E$100)*((Personnel!$K$9:$K$100="")+(40&lt;=Personnel!$K$9:$K$100)&gt;0))</f>
        <v>7</v>
      </c>
      <c r="AS43" s="363" t="n">
        <f aca="false">SUMPRODUCT((Personnel!$P$9:$P$100="SUPER")*(Personnel!$G$9:$G$100="Yes")*(41&gt;=Personnel!$E$9:$E$100)*((Personnel!$K$9:$K$100="")+(41&lt;=Personnel!$K$9:$K$100)&gt;0))</f>
        <v>7</v>
      </c>
      <c r="AT43" s="363" t="n">
        <f aca="false">SUMPRODUCT((Personnel!$P$9:$P$100="SUPER")*(Personnel!$G$9:$G$100="Yes")*(42&gt;=Personnel!$E$9:$E$100)*((Personnel!$K$9:$K$100="")+(42&lt;=Personnel!$K$9:$K$100)&gt;0))</f>
        <v>7</v>
      </c>
      <c r="AU43" s="363" t="n">
        <f aca="false">SUMPRODUCT((Personnel!$P$9:$P$100="SUPER")*(Personnel!$G$9:$G$100="Yes")*(43&gt;=Personnel!$E$9:$E$100)*((Personnel!$K$9:$K$100="")+(43&lt;=Personnel!$K$9:$K$100)&gt;0))</f>
        <v>7</v>
      </c>
      <c r="AV43" s="363" t="n">
        <f aca="false">SUMPRODUCT((Personnel!$P$9:$P$100="SUPER")*(Personnel!$G$9:$G$100="Yes")*(44&gt;=Personnel!$E$9:$E$100)*((Personnel!$K$9:$K$100="")+(44&lt;=Personnel!$K$9:$K$100)&gt;0))</f>
        <v>7</v>
      </c>
      <c r="AW43" s="363" t="n">
        <f aca="false">SUMPRODUCT((Personnel!$P$9:$P$100="SUPER")*(Personnel!$G$9:$G$100="Yes")*(45&gt;=Personnel!$E$9:$E$100)*((Personnel!$K$9:$K$100="")+(45&lt;=Personnel!$K$9:$K$100)&gt;0))</f>
        <v>7</v>
      </c>
      <c r="AX43" s="363" t="n">
        <f aca="false">SUMPRODUCT((Personnel!$P$9:$P$100="SUPER")*(Personnel!$G$9:$G$100="Yes")*(46&gt;=Personnel!$E$9:$E$100)*((Personnel!$K$9:$K$100="")+(46&lt;=Personnel!$K$9:$K$100)&gt;0))</f>
        <v>7</v>
      </c>
      <c r="AY43" s="363" t="n">
        <f aca="false">SUMPRODUCT((Personnel!$P$9:$P$100="SUPER")*(Personnel!$G$9:$G$100="Yes")*(47&gt;=Personnel!$E$9:$E$100)*((Personnel!$K$9:$K$100="")+(47&lt;=Personnel!$K$9:$K$100)&gt;0))</f>
        <v>7</v>
      </c>
      <c r="AZ43" s="363" t="n">
        <f aca="false">SUMPRODUCT((Personnel!$P$9:$P$100="SUPER")*(Personnel!$G$9:$G$100="Yes")*(48&gt;=Personnel!$E$9:$E$100)*((Personnel!$K$9:$K$100="")+(48&lt;=Personnel!$K$9:$K$100)&gt;0))</f>
        <v>7</v>
      </c>
      <c r="BA43" s="363" t="n">
        <f aca="false">SUMPRODUCT((Personnel!$P$9:$P$100="SUPER")*(Personnel!$G$9:$G$100="Yes")*(49&gt;=Personnel!$E$9:$E$100)*((Personnel!$K$9:$K$100="")+(49&lt;=Personnel!$K$9:$K$100)&gt;0))</f>
        <v>7</v>
      </c>
      <c r="BB43" s="363" t="n">
        <f aca="false">SUMPRODUCT((Personnel!$P$9:$P$100="SUPER")*(Personnel!$G$9:$G$100="Yes")*(50&gt;=Personnel!$E$9:$E$100)*((Personnel!$K$9:$K$100="")+(50&lt;=Personnel!$K$9:$K$100)&gt;0))</f>
        <v>7</v>
      </c>
      <c r="BC43" s="363" t="n">
        <f aca="false">SUMPRODUCT((Personnel!$P$9:$P$100="SUPER")*(Personnel!$G$9:$G$100="Yes")*(51&gt;=Personnel!$E$9:$E$100)*((Personnel!$K$9:$K$100="")+(51&lt;=Personnel!$K$9:$K$100)&gt;0))</f>
        <v>7</v>
      </c>
      <c r="BD43" s="363" t="n">
        <f aca="false">SUMPRODUCT((Personnel!$P$9:$P$100="SUPER")*(Personnel!$G$9:$G$100="Yes")*(52&gt;=Personnel!$E$9:$E$100)*((Personnel!$K$9:$K$100="")+(52&lt;=Personnel!$K$9:$K$100)&gt;0))</f>
        <v>7</v>
      </c>
      <c r="BE43" s="363" t="n">
        <f aca="false">SUMPRODUCT((Personnel!$P$9:$P$100="SUPER")*(Personnel!$G$9:$G$100="Yes")*(53&gt;=Personnel!$E$9:$E$100)*((Personnel!$K$9:$K$100="")+(53&lt;=Personnel!$K$9:$K$100)&gt;0))</f>
        <v>7</v>
      </c>
      <c r="BF43" s="363" t="n">
        <f aca="false">SUMPRODUCT((Personnel!$P$9:$P$100="SUPER")*(Personnel!$G$9:$G$100="Yes")*(54&gt;=Personnel!$E$9:$E$100)*((Personnel!$K$9:$K$100="")+(54&lt;=Personnel!$K$9:$K$100)&gt;0))</f>
        <v>7</v>
      </c>
      <c r="BG43" s="363" t="n">
        <f aca="false">SUMPRODUCT((Personnel!$P$9:$P$100="SUPER")*(Personnel!$G$9:$G$100="Yes")*(55&gt;=Personnel!$E$9:$E$100)*((Personnel!$K$9:$K$100="")+(55&lt;=Personnel!$K$9:$K$100)&gt;0))</f>
        <v>7</v>
      </c>
      <c r="BH43" s="363" t="n">
        <f aca="false">SUMPRODUCT((Personnel!$P$9:$P$100="SUPER")*(Personnel!$G$9:$G$100="Yes")*(56&gt;=Personnel!$E$9:$E$100)*((Personnel!$K$9:$K$100="")+(56&lt;=Personnel!$K$9:$K$100)&gt;0))</f>
        <v>7</v>
      </c>
      <c r="BI43" s="363" t="n">
        <f aca="false">SUMPRODUCT((Personnel!$P$9:$P$100="SUPER")*(Personnel!$G$9:$G$100="Yes")*(57&gt;=Personnel!$E$9:$E$100)*((Personnel!$K$9:$K$100="")+(57&lt;=Personnel!$K$9:$K$100)&gt;0))</f>
        <v>7</v>
      </c>
      <c r="BJ43" s="363" t="n">
        <f aca="false">SUMPRODUCT((Personnel!$P$9:$P$100="SUPER")*(Personnel!$G$9:$G$100="Yes")*(58&gt;=Personnel!$E$9:$E$100)*((Personnel!$K$9:$K$100="")+(58&lt;=Personnel!$K$9:$K$100)&gt;0))</f>
        <v>7</v>
      </c>
      <c r="BK43" s="363" t="n">
        <f aca="false">SUMPRODUCT((Personnel!$P$9:$P$100="SUPER")*(Personnel!$G$9:$G$100="Yes")*(59&gt;=Personnel!$E$9:$E$100)*((Personnel!$K$9:$K$100="")+(59&lt;=Personnel!$K$9:$K$100)&gt;0))</f>
        <v>7</v>
      </c>
      <c r="BL43" s="363" t="n">
        <f aca="false">SUMPRODUCT((Personnel!$P$9:$P$100="SUPER")*(Personnel!$G$9:$G$100="Yes")*(60&gt;=Personnel!$E$9:$E$100)*((Personnel!$K$9:$K$100="")+(60&lt;=Personnel!$K$9:$K$100)&gt;0))</f>
        <v>7</v>
      </c>
      <c r="BM43" s="363" t="n">
        <f aca="false">SUMPRODUCT((Personnel!$P$9:$P$100="SUPER")*(Personnel!$G$9:$G$100="Yes")*(61&gt;=Personnel!$E$9:$E$100)*((Personnel!$K$9:$K$100="")+(61&lt;=Personnel!$K$9:$K$100)&gt;0))</f>
        <v>7</v>
      </c>
      <c r="BN43" s="363" t="n">
        <f aca="false">SUMPRODUCT((Personnel!$P$9:$P$100="SUPER")*(Personnel!$G$9:$G$100="Yes")*(62&gt;=Personnel!$E$9:$E$100)*((Personnel!$K$9:$K$100="")+(62&lt;=Personnel!$K$9:$K$100)&gt;0))</f>
        <v>7</v>
      </c>
      <c r="BO43" s="363" t="n">
        <f aca="false">SUMPRODUCT((Personnel!$P$9:$P$100="SUPER")*(Personnel!$G$9:$G$100="Yes")*(63&gt;=Personnel!$E$9:$E$100)*((Personnel!$K$9:$K$100="")+(63&lt;=Personnel!$K$9:$K$100)&gt;0))</f>
        <v>7</v>
      </c>
      <c r="BP43" s="363" t="n">
        <f aca="false">SUMPRODUCT((Personnel!$P$9:$P$100="SUPER")*(Personnel!$G$9:$G$100="Yes")*(64&gt;=Personnel!$E$9:$E$100)*((Personnel!$K$9:$K$100="")+(64&lt;=Personnel!$K$9:$K$100)&gt;0))</f>
        <v>7</v>
      </c>
      <c r="BQ43" s="363" t="n">
        <f aca="false">SUMPRODUCT((Personnel!$P$9:$P$100="SUPER")*(Personnel!$G$9:$G$100="Yes")*(65&gt;=Personnel!$E$9:$E$100)*((Personnel!$K$9:$K$100="")+(65&lt;=Personnel!$K$9:$K$100)&gt;0))</f>
        <v>7</v>
      </c>
      <c r="BR43" s="363" t="n">
        <f aca="false">SUMPRODUCT((Personnel!$P$9:$P$100="SUPER")*(Personnel!$G$9:$G$100="Yes")*(66&gt;=Personnel!$E$9:$E$100)*((Personnel!$K$9:$K$100="")+(66&lt;=Personnel!$K$9:$K$100)&gt;0))</f>
        <v>7</v>
      </c>
      <c r="BS43" s="363" t="n">
        <f aca="false">SUMPRODUCT((Personnel!$P$9:$P$100="SUPER")*(Personnel!$G$9:$G$100="Yes")*(67&gt;=Personnel!$E$9:$E$100)*((Personnel!$K$9:$K$100="")+(67&lt;=Personnel!$K$9:$K$100)&gt;0))</f>
        <v>7</v>
      </c>
      <c r="BT43" s="363" t="n">
        <f aca="false">SUMPRODUCT((Personnel!$P$9:$P$100="SUPER")*(Personnel!$G$9:$G$100="Yes")*(68&gt;=Personnel!$E$9:$E$100)*((Personnel!$K$9:$K$100="")+(68&lt;=Personnel!$K$9:$K$100)&gt;0))</f>
        <v>7</v>
      </c>
      <c r="BU43" s="363" t="n">
        <f aca="false">SUMPRODUCT((Personnel!$P$9:$P$100="SUPER")*(Personnel!$G$9:$G$100="Yes")*(69&gt;=Personnel!$E$9:$E$100)*((Personnel!$K$9:$K$100="")+(69&lt;=Personnel!$K$9:$K$100)&gt;0))</f>
        <v>7</v>
      </c>
      <c r="BV43" s="363" t="n">
        <f aca="false">SUMPRODUCT((Personnel!$P$9:$P$100="SUPER")*(Personnel!$G$9:$G$100="Yes")*(70&gt;=Personnel!$E$9:$E$100)*((Personnel!$K$9:$K$100="")+(70&lt;=Personnel!$K$9:$K$100)&gt;0))</f>
        <v>7</v>
      </c>
      <c r="BW43" s="363" t="n">
        <f aca="false">SUMPRODUCT((Personnel!$P$9:$P$100="SUPER")*(Personnel!$G$9:$G$100="Yes")*(71&gt;=Personnel!$E$9:$E$100)*((Personnel!$K$9:$K$100="")+(71&lt;=Personnel!$K$9:$K$100)&gt;0))</f>
        <v>7</v>
      </c>
      <c r="BX43" s="363" t="n">
        <f aca="false">SUMPRODUCT((Personnel!$P$9:$P$100="SUPER")*(Personnel!$G$9:$G$100="Yes")*(72&gt;=Personnel!$E$9:$E$100)*((Personnel!$K$9:$K$100="")+(72&lt;=Personnel!$K$9:$K$100)&gt;0))</f>
        <v>7</v>
      </c>
      <c r="BY43" s="363" t="n">
        <f aca="false">SUMPRODUCT((Personnel!$P$9:$P$100="SUPER")*(Personnel!$G$9:$G$100="Yes")*(73&gt;=Personnel!$E$9:$E$100)*((Personnel!$K$9:$K$100="")+(73&lt;=Personnel!$K$9:$K$100)&gt;0))</f>
        <v>7</v>
      </c>
      <c r="BZ43" s="363" t="n">
        <f aca="false">SUMPRODUCT((Personnel!$P$9:$P$100="SUPER")*(Personnel!$G$9:$G$100="Yes")*(74&gt;=Personnel!$E$9:$E$100)*((Personnel!$K$9:$K$100="")+(74&lt;=Personnel!$K$9:$K$100)&gt;0))</f>
        <v>7</v>
      </c>
      <c r="CA43" s="363" t="n">
        <f aca="false">SUMPRODUCT((Personnel!$P$9:$P$100="SUPER")*(Personnel!$G$9:$G$100="Yes")*(75&gt;=Personnel!$E$9:$E$100)*((Personnel!$K$9:$K$100="")+(75&lt;=Personnel!$K$9:$K$100)&gt;0))</f>
        <v>7</v>
      </c>
      <c r="CB43" s="363" t="n">
        <f aca="false">SUMPRODUCT((Personnel!$P$9:$P$100="SUPER")*(Personnel!$G$9:$G$100="Yes")*(76&gt;=Personnel!$E$9:$E$100)*((Personnel!$K$9:$K$100="")+(76&lt;=Personnel!$K$9:$K$100)&gt;0))</f>
        <v>7</v>
      </c>
      <c r="CC43" s="363" t="n">
        <f aca="false">SUMPRODUCT((Personnel!$P$9:$P$100="SUPER")*(Personnel!$G$9:$G$100="Yes")*(77&gt;=Personnel!$E$9:$E$100)*((Personnel!$K$9:$K$100="")+(77&lt;=Personnel!$K$9:$K$100)&gt;0))</f>
        <v>7</v>
      </c>
      <c r="CD43" s="363" t="n">
        <f aca="false">SUMPRODUCT((Personnel!$P$9:$P$100="SUPER")*(Personnel!$G$9:$G$100="Yes")*(78&gt;=Personnel!$E$9:$E$100)*((Personnel!$K$9:$K$100="")+(78&lt;=Personnel!$K$9:$K$100)&gt;0))</f>
        <v>7</v>
      </c>
      <c r="CE43" s="363" t="n">
        <f aca="false">SUMPRODUCT((Personnel!$P$9:$P$100="SUPER")*(Personnel!$G$9:$G$100="Yes")*(79&gt;=Personnel!$E$9:$E$100)*((Personnel!$K$9:$K$100="")+(79&lt;=Personnel!$K$9:$K$100)&gt;0))</f>
        <v>7</v>
      </c>
      <c r="CF43" s="363" t="n">
        <f aca="false">SUMPRODUCT((Personnel!$P$9:$P$100="SUPER")*(Personnel!$G$9:$G$100="Yes")*(80&gt;=Personnel!$E$9:$E$100)*((Personnel!$K$9:$K$100="")+(80&lt;=Personnel!$K$9:$K$100)&gt;0))</f>
        <v>7</v>
      </c>
      <c r="CG43" s="363" t="n">
        <f aca="false">SUMPRODUCT((Personnel!$P$9:$P$100="SUPER")*(Personnel!$G$9:$G$100="Yes")*(81&gt;=Personnel!$E$9:$E$100)*((Personnel!$K$9:$K$100="")+(81&lt;=Personnel!$K$9:$K$100)&gt;0))</f>
        <v>7</v>
      </c>
      <c r="CH43" s="363" t="n">
        <f aca="false">SUMPRODUCT((Personnel!$P$9:$P$100="SUPER")*(Personnel!$G$9:$G$100="Yes")*(82&gt;=Personnel!$E$9:$E$100)*((Personnel!$K$9:$K$100="")+(82&lt;=Personnel!$K$9:$K$100)&gt;0))</f>
        <v>7</v>
      </c>
      <c r="CI43" s="363" t="n">
        <f aca="false">SUMPRODUCT((Personnel!$P$9:$P$100="SUPER")*(Personnel!$G$9:$G$100="Yes")*(83&gt;=Personnel!$E$9:$E$100)*((Personnel!$K$9:$K$100="")+(83&lt;=Personnel!$K$9:$K$100)&gt;0))</f>
        <v>7</v>
      </c>
      <c r="CJ43" s="363" t="n">
        <f aca="false">SUMPRODUCT((Personnel!$P$9:$P$100="SUPER")*(Personnel!$G$9:$G$100="Yes")*(84&gt;=Personnel!$E$9:$E$100)*((Personnel!$K$9:$K$100="")+(84&lt;=Personnel!$K$9:$K$100)&gt;0))</f>
        <v>7</v>
      </c>
      <c r="CK43" s="363" t="n">
        <f aca="false">SUMPRODUCT((Personnel!$P$9:$P$100="SUPER")*(Personnel!$G$9:$G$100="Yes")*(85&gt;=Personnel!$E$9:$E$100)*((Personnel!$K$9:$K$100="")+(85&lt;=Personnel!$K$9:$K$100)&gt;0))</f>
        <v>7</v>
      </c>
      <c r="CL43" s="363" t="n">
        <f aca="false">SUMPRODUCT((Personnel!$P$9:$P$100="SUPER")*(Personnel!$G$9:$G$100="Yes")*(86&gt;=Personnel!$E$9:$E$100)*((Personnel!$K$9:$K$100="")+(86&lt;=Personnel!$K$9:$K$100)&gt;0))</f>
        <v>7</v>
      </c>
      <c r="CM43" s="363" t="n">
        <f aca="false">SUMPRODUCT((Personnel!$P$9:$P$100="SUPER")*(Personnel!$G$9:$G$100="Yes")*(87&gt;=Personnel!$E$9:$E$100)*((Personnel!$K$9:$K$100="")+(87&lt;=Personnel!$K$9:$K$100)&gt;0))</f>
        <v>7</v>
      </c>
      <c r="CN43" s="363" t="n">
        <f aca="false">SUMPRODUCT((Personnel!$P$9:$P$100="SUPER")*(Personnel!$G$9:$G$100="Yes")*(88&gt;=Personnel!$E$9:$E$100)*((Personnel!$K$9:$K$100="")+(88&lt;=Personnel!$K$9:$K$100)&gt;0))</f>
        <v>7</v>
      </c>
      <c r="CO43" s="363" t="n">
        <f aca="false">SUMPRODUCT((Personnel!$P$9:$P$100="SUPER")*(Personnel!$G$9:$G$100="Yes")*(89&gt;=Personnel!$E$9:$E$100)*((Personnel!$K$9:$K$100="")+(89&lt;=Personnel!$K$9:$K$100)&gt;0))</f>
        <v>7</v>
      </c>
      <c r="CP43" s="363" t="n">
        <f aca="false">SUMPRODUCT((Personnel!$P$9:$P$100="SUPER")*(Personnel!$G$9:$G$100="Yes")*(90&gt;=Personnel!$E$9:$E$100)*((Personnel!$K$9:$K$100="")+(90&lt;=Personnel!$K$9:$K$100)&gt;0))</f>
        <v>7</v>
      </c>
      <c r="CQ43" s="363" t="n">
        <f aca="false">SUMPRODUCT((Personnel!$P$9:$P$100="SUPER")*(Personnel!$G$9:$G$100="Yes")*(91&gt;=Personnel!$E$9:$E$100)*((Personnel!$K$9:$K$100="")+(91&lt;=Personnel!$K$9:$K$100)&gt;0))</f>
        <v>7</v>
      </c>
      <c r="CR43" s="363" t="n">
        <f aca="false">SUMPRODUCT((Personnel!$P$9:$P$100="SUPER")*(Personnel!$G$9:$G$100="Yes")*(92&gt;=Personnel!$E$9:$E$100)*((Personnel!$K$9:$K$100="")+(92&lt;=Personnel!$K$9:$K$100)&gt;0))</f>
        <v>7</v>
      </c>
      <c r="CS43" s="363" t="n">
        <f aca="false">SUMPRODUCT((Personnel!$P$9:$P$100="SUPER")*(Personnel!$G$9:$G$100="Yes")*(93&gt;=Personnel!$E$9:$E$100)*((Personnel!$K$9:$K$100="")+(93&lt;=Personnel!$K$9:$K$100)&gt;0))</f>
        <v>7</v>
      </c>
      <c r="CT43" s="363" t="n">
        <f aca="false">SUMPRODUCT((Personnel!$P$9:$P$100="SUPER")*(Personnel!$G$9:$G$100="Yes")*(94&gt;=Personnel!$E$9:$E$100)*((Personnel!$K$9:$K$100="")+(94&lt;=Personnel!$K$9:$K$100)&gt;0))</f>
        <v>7</v>
      </c>
      <c r="CU43" s="363" t="n">
        <f aca="false">SUMPRODUCT((Personnel!$P$9:$P$100="SUPER")*(Personnel!$G$9:$G$100="Yes")*(95&gt;=Personnel!$E$9:$E$100)*((Personnel!$K$9:$K$100="")+(95&lt;=Personnel!$K$9:$K$100)&gt;0))</f>
        <v>7</v>
      </c>
      <c r="CV43" s="363" t="n">
        <f aca="false">SUMPRODUCT((Personnel!$P$9:$P$100="SUPER")*(Personnel!$G$9:$G$100="Yes")*(96&gt;=Personnel!$E$9:$E$100)*((Personnel!$K$9:$K$100="")+(96&lt;=Personnel!$K$9:$K$100)&gt;0))</f>
        <v>7</v>
      </c>
      <c r="CW43" s="363" t="n">
        <f aca="false">SUMPRODUCT((Personnel!$P$9:$P$100="SUPER")*(Personnel!$G$9:$G$100="Yes")*(97&gt;=Personnel!$E$9:$E$100)*((Personnel!$K$9:$K$100="")+(97&lt;=Personnel!$K$9:$K$100)&gt;0))</f>
        <v>7</v>
      </c>
      <c r="CX43" s="363" t="n">
        <f aca="false">SUMPRODUCT((Personnel!$P$9:$P$100="SUPER")*(Personnel!$G$9:$G$100="Yes")*(98&gt;=Personnel!$E$9:$E$100)*((Personnel!$K$9:$K$100="")+(98&lt;=Personnel!$K$9:$K$100)&gt;0))</f>
        <v>7</v>
      </c>
      <c r="CY43" s="363" t="n">
        <f aca="false">SUMPRODUCT((Personnel!$P$9:$P$100="SUPER")*(Personnel!$G$9:$G$100="Yes")*(99&gt;=Personnel!$E$9:$E$100)*((Personnel!$K$9:$K$100="")+(99&lt;=Personnel!$K$9:$K$100)&gt;0))</f>
        <v>7</v>
      </c>
      <c r="CZ43" s="363" t="n">
        <f aca="false">SUMPRODUCT((Personnel!$P$9:$P$100="SUPER")*(Personnel!$G$9:$G$100="Yes")*(100&gt;=Personnel!$E$9:$E$100)*((Personnel!$K$9:$K$100="")+(100&lt;=Personnel!$K$9:$K$100)&gt;0))</f>
        <v>7</v>
      </c>
      <c r="DA43" s="363" t="n">
        <f aca="false">SUMPRODUCT((Personnel!$P$9:$P$100="SUPER")*(Personnel!$G$9:$G$100="Yes")*(101&gt;=Personnel!$E$9:$E$100)*((Personnel!$K$9:$K$100="")+(101&lt;=Personnel!$K$9:$K$100)&gt;0))</f>
        <v>7</v>
      </c>
      <c r="DB43" s="363" t="n">
        <f aca="false">SUMPRODUCT((Personnel!$P$9:$P$100="SUPER")*(Personnel!$G$9:$G$100="Yes")*(102&gt;=Personnel!$E$9:$E$100)*((Personnel!$K$9:$K$100="")+(102&lt;=Personnel!$K$9:$K$100)&gt;0))</f>
        <v>7</v>
      </c>
      <c r="DC43" s="363" t="n">
        <f aca="false">SUMPRODUCT((Personnel!$P$9:$P$100="SUPER")*(Personnel!$G$9:$G$100="Yes")*(103&gt;=Personnel!$E$9:$E$100)*((Personnel!$K$9:$K$100="")+(103&lt;=Personnel!$K$9:$K$100)&gt;0))</f>
        <v>7</v>
      </c>
      <c r="DD43" s="363" t="n">
        <f aca="false">SUMPRODUCT((Personnel!$P$9:$P$100="SUPER")*(Personnel!$G$9:$G$100="Yes")*(104&gt;=Personnel!$E$9:$E$100)*((Personnel!$K$9:$K$100="")+(104&lt;=Personnel!$K$9:$K$100)&gt;0))</f>
        <v>7</v>
      </c>
      <c r="DE43" s="363" t="n">
        <f aca="false">SUMPRODUCT((Personnel!$P$9:$P$100="SUPER")*(Personnel!$G$9:$G$100="Yes")*(105&gt;=Personnel!$E$9:$E$100)*((Personnel!$K$9:$K$100="")+(105&lt;=Personnel!$K$9:$K$100)&gt;0))</f>
        <v>7</v>
      </c>
    </row>
    <row r="44" customFormat="false" ht="13.5" hidden="false" customHeight="true" outlineLevel="0" collapsed="false">
      <c r="A44" s="109" t="s">
        <v>1213</v>
      </c>
      <c r="E44" s="363" t="n">
        <f aca="false">SUMPRODUCT((Personnel!$P$9:$P$100="APM")*(Personnel!$G$9:$G$100="Yes")*(1&gt;=Personnel!$E$9:$E$100)*((Personnel!$K$9:$K$100="")+(1&lt;=Personnel!$K$9:$K$100)&gt;0))</f>
        <v>1</v>
      </c>
      <c r="F44" s="363" t="n">
        <f aca="false">SUMPRODUCT((Personnel!$P$9:$P$100="APM")*(Personnel!$G$9:$G$100="Yes")*(2&gt;=Personnel!$E$9:$E$100)*((Personnel!$K$9:$K$100="")+(2&lt;=Personnel!$K$9:$K$100)&gt;0))</f>
        <v>2</v>
      </c>
      <c r="G44" s="363" t="n">
        <f aca="false">SUMPRODUCT((Personnel!$P$9:$P$100="APM")*(Personnel!$G$9:$G$100="Yes")*(3&gt;=Personnel!$E$9:$E$100)*((Personnel!$K$9:$K$100="")+(3&lt;=Personnel!$K$9:$K$100)&gt;0))</f>
        <v>2</v>
      </c>
      <c r="H44" s="363" t="n">
        <f aca="false">SUMPRODUCT((Personnel!$P$9:$P$100="APM")*(Personnel!$G$9:$G$100="Yes")*(4&gt;=Personnel!$E$9:$E$100)*((Personnel!$K$9:$K$100="")+(4&lt;=Personnel!$K$9:$K$100)&gt;0))</f>
        <v>2</v>
      </c>
      <c r="I44" s="363" t="n">
        <f aca="false">SUMPRODUCT((Personnel!$P$9:$P$100="APM")*(Personnel!$G$9:$G$100="Yes")*(5&gt;=Personnel!$E$9:$E$100)*((Personnel!$K$9:$K$100="")+(5&lt;=Personnel!$K$9:$K$100)&gt;0))</f>
        <v>1</v>
      </c>
      <c r="J44" s="363" t="n">
        <f aca="false">SUMPRODUCT((Personnel!$P$9:$P$100="APM")*(Personnel!$G$9:$G$100="Yes")*(6&gt;=Personnel!$E$9:$E$100)*((Personnel!$K$9:$K$100="")+(6&lt;=Personnel!$K$9:$K$100)&gt;0))</f>
        <v>2</v>
      </c>
      <c r="K44" s="363" t="n">
        <f aca="false">SUMPRODUCT((Personnel!$P$9:$P$100="APM")*(Personnel!$G$9:$G$100="Yes")*(7&gt;=Personnel!$E$9:$E$100)*((Personnel!$K$9:$K$100="")+(7&lt;=Personnel!$K$9:$K$100)&gt;0))</f>
        <v>2</v>
      </c>
      <c r="L44" s="363" t="n">
        <f aca="false">SUMPRODUCT((Personnel!$P$9:$P$100="APM")*(Personnel!$G$9:$G$100="Yes")*(8&gt;=Personnel!$E$9:$E$100)*((Personnel!$K$9:$K$100="")+(8&lt;=Personnel!$K$9:$K$100)&gt;0))</f>
        <v>2</v>
      </c>
      <c r="M44" s="363" t="n">
        <f aca="false">SUMPRODUCT((Personnel!$P$9:$P$100="APM")*(Personnel!$G$9:$G$100="Yes")*(9&gt;=Personnel!$E$9:$E$100)*((Personnel!$K$9:$K$100="")+(9&lt;=Personnel!$K$9:$K$100)&gt;0))</f>
        <v>2</v>
      </c>
      <c r="N44" s="363" t="n">
        <f aca="false">SUMPRODUCT((Personnel!$P$9:$P$100="APM")*(Personnel!$G$9:$G$100="Yes")*(10&gt;=Personnel!$E$9:$E$100)*((Personnel!$K$9:$K$100="")+(10&lt;=Personnel!$K$9:$K$100)&gt;0))</f>
        <v>2</v>
      </c>
      <c r="O44" s="363" t="n">
        <f aca="false">SUMPRODUCT((Personnel!$P$9:$P$100="APM")*(Personnel!$G$9:$G$100="Yes")*(11&gt;=Personnel!$E$9:$E$100)*((Personnel!$K$9:$K$100="")+(11&lt;=Personnel!$K$9:$K$100)&gt;0))</f>
        <v>2</v>
      </c>
      <c r="P44" s="363" t="n">
        <f aca="false">SUMPRODUCT((Personnel!$P$9:$P$100="APM")*(Personnel!$G$9:$G$100="Yes")*(12&gt;=Personnel!$E$9:$E$100)*((Personnel!$K$9:$K$100="")+(12&lt;=Personnel!$K$9:$K$100)&gt;0))</f>
        <v>2</v>
      </c>
      <c r="Q44" s="363" t="n">
        <f aca="false">SUMPRODUCT((Personnel!$P$9:$P$100="APM")*(Personnel!$G$9:$G$100="Yes")*(13&gt;=Personnel!$E$9:$E$100)*((Personnel!$K$9:$K$100="")+(13&lt;=Personnel!$K$9:$K$100)&gt;0))</f>
        <v>2</v>
      </c>
      <c r="R44" s="363" t="n">
        <f aca="false">SUMPRODUCT((Personnel!$P$9:$P$100="APM")*(Personnel!$G$9:$G$100="Yes")*(14&gt;=Personnel!$E$9:$E$100)*((Personnel!$K$9:$K$100="")+(14&lt;=Personnel!$K$9:$K$100)&gt;0))</f>
        <v>2</v>
      </c>
      <c r="S44" s="363" t="n">
        <f aca="false">SUMPRODUCT((Personnel!$P$9:$P$100="APM")*(Personnel!$G$9:$G$100="Yes")*(15&gt;=Personnel!$E$9:$E$100)*((Personnel!$K$9:$K$100="")+(15&lt;=Personnel!$K$9:$K$100)&gt;0))</f>
        <v>2</v>
      </c>
      <c r="T44" s="363" t="n">
        <f aca="false">SUMPRODUCT((Personnel!$P$9:$P$100="APM")*(Personnel!$G$9:$G$100="Yes")*(16&gt;=Personnel!$E$9:$E$100)*((Personnel!$K$9:$K$100="")+(16&lt;=Personnel!$K$9:$K$100)&gt;0))</f>
        <v>2</v>
      </c>
      <c r="U44" s="363" t="n">
        <f aca="false">SUMPRODUCT((Personnel!$P$9:$P$100="APM")*(Personnel!$G$9:$G$100="Yes")*(17&gt;=Personnel!$E$9:$E$100)*((Personnel!$K$9:$K$100="")+(17&lt;=Personnel!$K$9:$K$100)&gt;0))</f>
        <v>2</v>
      </c>
      <c r="V44" s="363" t="n">
        <f aca="false">SUMPRODUCT((Personnel!$P$9:$P$100="APM")*(Personnel!$G$9:$G$100="Yes")*(18&gt;=Personnel!$E$9:$E$100)*((Personnel!$K$9:$K$100="")+(18&lt;=Personnel!$K$9:$K$100)&gt;0))</f>
        <v>2</v>
      </c>
      <c r="W44" s="363" t="n">
        <f aca="false">SUMPRODUCT((Personnel!$P$9:$P$100="APM")*(Personnel!$G$9:$G$100="Yes")*(19&gt;=Personnel!$E$9:$E$100)*((Personnel!$K$9:$K$100="")+(19&lt;=Personnel!$K$9:$K$100)&gt;0))</f>
        <v>2</v>
      </c>
      <c r="X44" s="363" t="n">
        <f aca="false">SUMPRODUCT((Personnel!$P$9:$P$100="APM")*(Personnel!$G$9:$G$100="Yes")*(20&gt;=Personnel!$E$9:$E$100)*((Personnel!$K$9:$K$100="")+(20&lt;=Personnel!$K$9:$K$100)&gt;0))</f>
        <v>2</v>
      </c>
      <c r="Y44" s="363" t="n">
        <f aca="false">SUMPRODUCT((Personnel!$P$9:$P$100="APM")*(Personnel!$G$9:$G$100="Yes")*(21&gt;=Personnel!$E$9:$E$100)*((Personnel!$K$9:$K$100="")+(21&lt;=Personnel!$K$9:$K$100)&gt;0))</f>
        <v>2</v>
      </c>
      <c r="Z44" s="363" t="n">
        <f aca="false">SUMPRODUCT((Personnel!$P$9:$P$100="APM")*(Personnel!$G$9:$G$100="Yes")*(22&gt;=Personnel!$E$9:$E$100)*((Personnel!$K$9:$K$100="")+(22&lt;=Personnel!$K$9:$K$100)&gt;0))</f>
        <v>2</v>
      </c>
      <c r="AA44" s="363" t="n">
        <f aca="false">SUMPRODUCT((Personnel!$P$9:$P$100="APM")*(Personnel!$G$9:$G$100="Yes")*(23&gt;=Personnel!$E$9:$E$100)*((Personnel!$K$9:$K$100="")+(23&lt;=Personnel!$K$9:$K$100)&gt;0))</f>
        <v>2</v>
      </c>
      <c r="AB44" s="363" t="n">
        <f aca="false">SUMPRODUCT((Personnel!$P$9:$P$100="APM")*(Personnel!$G$9:$G$100="Yes")*(24&gt;=Personnel!$E$9:$E$100)*((Personnel!$K$9:$K$100="")+(24&lt;=Personnel!$K$9:$K$100)&gt;0))</f>
        <v>2</v>
      </c>
      <c r="AC44" s="363" t="n">
        <f aca="false">SUMPRODUCT((Personnel!$P$9:$P$100="APM")*(Personnel!$G$9:$G$100="Yes")*(25&gt;=Personnel!$E$9:$E$100)*((Personnel!$K$9:$K$100="")+(25&lt;=Personnel!$K$9:$K$100)&gt;0))</f>
        <v>2</v>
      </c>
      <c r="AD44" s="363" t="n">
        <f aca="false">SUMPRODUCT((Personnel!$P$9:$P$100="APM")*(Personnel!$G$9:$G$100="Yes")*(26&gt;=Personnel!$E$9:$E$100)*((Personnel!$K$9:$K$100="")+(26&lt;=Personnel!$K$9:$K$100)&gt;0))</f>
        <v>2</v>
      </c>
      <c r="AE44" s="363" t="n">
        <f aca="false">SUMPRODUCT((Personnel!$P$9:$P$100="APM")*(Personnel!$G$9:$G$100="Yes")*(27&gt;=Personnel!$E$9:$E$100)*((Personnel!$K$9:$K$100="")+(27&lt;=Personnel!$K$9:$K$100)&gt;0))</f>
        <v>2</v>
      </c>
      <c r="AF44" s="363" t="n">
        <f aca="false">SUMPRODUCT((Personnel!$P$9:$P$100="APM")*(Personnel!$G$9:$G$100="Yes")*(28&gt;=Personnel!$E$9:$E$100)*((Personnel!$K$9:$K$100="")+(28&lt;=Personnel!$K$9:$K$100)&gt;0))</f>
        <v>2</v>
      </c>
      <c r="AG44" s="363" t="n">
        <f aca="false">SUMPRODUCT((Personnel!$P$9:$P$100="APM")*(Personnel!$G$9:$G$100="Yes")*(29&gt;=Personnel!$E$9:$E$100)*((Personnel!$K$9:$K$100="")+(29&lt;=Personnel!$K$9:$K$100)&gt;0))</f>
        <v>2</v>
      </c>
      <c r="AH44" s="363" t="n">
        <f aca="false">SUMPRODUCT((Personnel!$P$9:$P$100="APM")*(Personnel!$G$9:$G$100="Yes")*(30&gt;=Personnel!$E$9:$E$100)*((Personnel!$K$9:$K$100="")+(30&lt;=Personnel!$K$9:$K$100)&gt;0))</f>
        <v>2</v>
      </c>
      <c r="AI44" s="363" t="n">
        <f aca="false">SUMPRODUCT((Personnel!$P$9:$P$100="APM")*(Personnel!$G$9:$G$100="Yes")*(31&gt;=Personnel!$E$9:$E$100)*((Personnel!$K$9:$K$100="")+(31&lt;=Personnel!$K$9:$K$100)&gt;0))</f>
        <v>2</v>
      </c>
      <c r="AJ44" s="363" t="n">
        <f aca="false">SUMPRODUCT((Personnel!$P$9:$P$100="APM")*(Personnel!$G$9:$G$100="Yes")*(32&gt;=Personnel!$E$9:$E$100)*((Personnel!$K$9:$K$100="")+(32&lt;=Personnel!$K$9:$K$100)&gt;0))</f>
        <v>2</v>
      </c>
      <c r="AK44" s="363" t="n">
        <f aca="false">SUMPRODUCT((Personnel!$P$9:$P$100="APM")*(Personnel!$G$9:$G$100="Yes")*(33&gt;=Personnel!$E$9:$E$100)*((Personnel!$K$9:$K$100="")+(33&lt;=Personnel!$K$9:$K$100)&gt;0))</f>
        <v>2</v>
      </c>
      <c r="AL44" s="363" t="n">
        <f aca="false">SUMPRODUCT((Personnel!$P$9:$P$100="APM")*(Personnel!$G$9:$G$100="Yes")*(34&gt;=Personnel!$E$9:$E$100)*((Personnel!$K$9:$K$100="")+(34&lt;=Personnel!$K$9:$K$100)&gt;0))</f>
        <v>2</v>
      </c>
      <c r="AM44" s="363" t="n">
        <f aca="false">SUMPRODUCT((Personnel!$P$9:$P$100="APM")*(Personnel!$G$9:$G$100="Yes")*(35&gt;=Personnel!$E$9:$E$100)*((Personnel!$K$9:$K$100="")+(35&lt;=Personnel!$K$9:$K$100)&gt;0))</f>
        <v>2</v>
      </c>
      <c r="AN44" s="363" t="n">
        <f aca="false">SUMPRODUCT((Personnel!$P$9:$P$100="APM")*(Personnel!$G$9:$G$100="Yes")*(36&gt;=Personnel!$E$9:$E$100)*((Personnel!$K$9:$K$100="")+(36&lt;=Personnel!$K$9:$K$100)&gt;0))</f>
        <v>2</v>
      </c>
      <c r="AO44" s="363" t="n">
        <f aca="false">SUMPRODUCT((Personnel!$P$9:$P$100="APM")*(Personnel!$G$9:$G$100="Yes")*(37&gt;=Personnel!$E$9:$E$100)*((Personnel!$K$9:$K$100="")+(37&lt;=Personnel!$K$9:$K$100)&gt;0))</f>
        <v>2</v>
      </c>
      <c r="AP44" s="363" t="n">
        <f aca="false">SUMPRODUCT((Personnel!$P$9:$P$100="APM")*(Personnel!$G$9:$G$100="Yes")*(38&gt;=Personnel!$E$9:$E$100)*((Personnel!$K$9:$K$100="")+(38&lt;=Personnel!$K$9:$K$100)&gt;0))</f>
        <v>2</v>
      </c>
      <c r="AQ44" s="363" t="n">
        <f aca="false">SUMPRODUCT((Personnel!$P$9:$P$100="APM")*(Personnel!$G$9:$G$100="Yes")*(39&gt;=Personnel!$E$9:$E$100)*((Personnel!$K$9:$K$100="")+(39&lt;=Personnel!$K$9:$K$100)&gt;0))</f>
        <v>2</v>
      </c>
      <c r="AR44" s="363" t="n">
        <f aca="false">SUMPRODUCT((Personnel!$P$9:$P$100="APM")*(Personnel!$G$9:$G$100="Yes")*(40&gt;=Personnel!$E$9:$E$100)*((Personnel!$K$9:$K$100="")+(40&lt;=Personnel!$K$9:$K$100)&gt;0))</f>
        <v>2</v>
      </c>
      <c r="AS44" s="363" t="n">
        <f aca="false">SUMPRODUCT((Personnel!$P$9:$P$100="APM")*(Personnel!$G$9:$G$100="Yes")*(41&gt;=Personnel!$E$9:$E$100)*((Personnel!$K$9:$K$100="")+(41&lt;=Personnel!$K$9:$K$100)&gt;0))</f>
        <v>2</v>
      </c>
      <c r="AT44" s="363" t="n">
        <f aca="false">SUMPRODUCT((Personnel!$P$9:$P$100="APM")*(Personnel!$G$9:$G$100="Yes")*(42&gt;=Personnel!$E$9:$E$100)*((Personnel!$K$9:$K$100="")+(42&lt;=Personnel!$K$9:$K$100)&gt;0))</f>
        <v>2</v>
      </c>
      <c r="AU44" s="363" t="n">
        <f aca="false">SUMPRODUCT((Personnel!$P$9:$P$100="APM")*(Personnel!$G$9:$G$100="Yes")*(43&gt;=Personnel!$E$9:$E$100)*((Personnel!$K$9:$K$100="")+(43&lt;=Personnel!$K$9:$K$100)&gt;0))</f>
        <v>2</v>
      </c>
      <c r="AV44" s="363" t="n">
        <f aca="false">SUMPRODUCT((Personnel!$P$9:$P$100="APM")*(Personnel!$G$9:$G$100="Yes")*(44&gt;=Personnel!$E$9:$E$100)*((Personnel!$K$9:$K$100="")+(44&lt;=Personnel!$K$9:$K$100)&gt;0))</f>
        <v>2</v>
      </c>
      <c r="AW44" s="363" t="n">
        <f aca="false">SUMPRODUCT((Personnel!$P$9:$P$100="APM")*(Personnel!$G$9:$G$100="Yes")*(45&gt;=Personnel!$E$9:$E$100)*((Personnel!$K$9:$K$100="")+(45&lt;=Personnel!$K$9:$K$100)&gt;0))</f>
        <v>2</v>
      </c>
      <c r="AX44" s="363" t="n">
        <f aca="false">SUMPRODUCT((Personnel!$P$9:$P$100="APM")*(Personnel!$G$9:$G$100="Yes")*(46&gt;=Personnel!$E$9:$E$100)*((Personnel!$K$9:$K$100="")+(46&lt;=Personnel!$K$9:$K$100)&gt;0))</f>
        <v>2</v>
      </c>
      <c r="AY44" s="363" t="n">
        <f aca="false">SUMPRODUCT((Personnel!$P$9:$P$100="APM")*(Personnel!$G$9:$G$100="Yes")*(47&gt;=Personnel!$E$9:$E$100)*((Personnel!$K$9:$K$100="")+(47&lt;=Personnel!$K$9:$K$100)&gt;0))</f>
        <v>2</v>
      </c>
      <c r="AZ44" s="363" t="n">
        <f aca="false">SUMPRODUCT((Personnel!$P$9:$P$100="APM")*(Personnel!$G$9:$G$100="Yes")*(48&gt;=Personnel!$E$9:$E$100)*((Personnel!$K$9:$K$100="")+(48&lt;=Personnel!$K$9:$K$100)&gt;0))</f>
        <v>2</v>
      </c>
      <c r="BA44" s="363" t="n">
        <f aca="false">SUMPRODUCT((Personnel!$P$9:$P$100="APM")*(Personnel!$G$9:$G$100="Yes")*(49&gt;=Personnel!$E$9:$E$100)*((Personnel!$K$9:$K$100="")+(49&lt;=Personnel!$K$9:$K$100)&gt;0))</f>
        <v>2</v>
      </c>
      <c r="BB44" s="363" t="n">
        <f aca="false">SUMPRODUCT((Personnel!$P$9:$P$100="APM")*(Personnel!$G$9:$G$100="Yes")*(50&gt;=Personnel!$E$9:$E$100)*((Personnel!$K$9:$K$100="")+(50&lt;=Personnel!$K$9:$K$100)&gt;0))</f>
        <v>2</v>
      </c>
      <c r="BC44" s="363" t="n">
        <f aca="false">SUMPRODUCT((Personnel!$P$9:$P$100="APM")*(Personnel!$G$9:$G$100="Yes")*(51&gt;=Personnel!$E$9:$E$100)*((Personnel!$K$9:$K$100="")+(51&lt;=Personnel!$K$9:$K$100)&gt;0))</f>
        <v>2</v>
      </c>
      <c r="BD44" s="363" t="n">
        <f aca="false">SUMPRODUCT((Personnel!$P$9:$P$100="APM")*(Personnel!$G$9:$G$100="Yes")*(52&gt;=Personnel!$E$9:$E$100)*((Personnel!$K$9:$K$100="")+(52&lt;=Personnel!$K$9:$K$100)&gt;0))</f>
        <v>2</v>
      </c>
      <c r="BE44" s="363" t="n">
        <f aca="false">SUMPRODUCT((Personnel!$P$9:$P$100="APM")*(Personnel!$G$9:$G$100="Yes")*(53&gt;=Personnel!$E$9:$E$100)*((Personnel!$K$9:$K$100="")+(53&lt;=Personnel!$K$9:$K$100)&gt;0))</f>
        <v>2</v>
      </c>
      <c r="BF44" s="363" t="n">
        <f aca="false">SUMPRODUCT((Personnel!$P$9:$P$100="APM")*(Personnel!$G$9:$G$100="Yes")*(54&gt;=Personnel!$E$9:$E$100)*((Personnel!$K$9:$K$100="")+(54&lt;=Personnel!$K$9:$K$100)&gt;0))</f>
        <v>2</v>
      </c>
      <c r="BG44" s="363" t="n">
        <f aca="false">SUMPRODUCT((Personnel!$P$9:$P$100="APM")*(Personnel!$G$9:$G$100="Yes")*(55&gt;=Personnel!$E$9:$E$100)*((Personnel!$K$9:$K$100="")+(55&lt;=Personnel!$K$9:$K$100)&gt;0))</f>
        <v>2</v>
      </c>
      <c r="BH44" s="363" t="n">
        <f aca="false">SUMPRODUCT((Personnel!$P$9:$P$100="APM")*(Personnel!$G$9:$G$100="Yes")*(56&gt;=Personnel!$E$9:$E$100)*((Personnel!$K$9:$K$100="")+(56&lt;=Personnel!$K$9:$K$100)&gt;0))</f>
        <v>2</v>
      </c>
      <c r="BI44" s="363" t="n">
        <f aca="false">SUMPRODUCT((Personnel!$P$9:$P$100="APM")*(Personnel!$G$9:$G$100="Yes")*(57&gt;=Personnel!$E$9:$E$100)*((Personnel!$K$9:$K$100="")+(57&lt;=Personnel!$K$9:$K$100)&gt;0))</f>
        <v>2</v>
      </c>
      <c r="BJ44" s="363" t="n">
        <f aca="false">SUMPRODUCT((Personnel!$P$9:$P$100="APM")*(Personnel!$G$9:$G$100="Yes")*(58&gt;=Personnel!$E$9:$E$100)*((Personnel!$K$9:$K$100="")+(58&lt;=Personnel!$K$9:$K$100)&gt;0))</f>
        <v>2</v>
      </c>
      <c r="BK44" s="363" t="n">
        <f aca="false">SUMPRODUCT((Personnel!$P$9:$P$100="APM")*(Personnel!$G$9:$G$100="Yes")*(59&gt;=Personnel!$E$9:$E$100)*((Personnel!$K$9:$K$100="")+(59&lt;=Personnel!$K$9:$K$100)&gt;0))</f>
        <v>2</v>
      </c>
      <c r="BL44" s="363" t="n">
        <f aca="false">SUMPRODUCT((Personnel!$P$9:$P$100="APM")*(Personnel!$G$9:$G$100="Yes")*(60&gt;=Personnel!$E$9:$E$100)*((Personnel!$K$9:$K$100="")+(60&lt;=Personnel!$K$9:$K$100)&gt;0))</f>
        <v>2</v>
      </c>
      <c r="BM44" s="363" t="n">
        <f aca="false">SUMPRODUCT((Personnel!$P$9:$P$100="APM")*(Personnel!$G$9:$G$100="Yes")*(61&gt;=Personnel!$E$9:$E$100)*((Personnel!$K$9:$K$100="")+(61&lt;=Personnel!$K$9:$K$100)&gt;0))</f>
        <v>2</v>
      </c>
      <c r="BN44" s="363" t="n">
        <f aca="false">SUMPRODUCT((Personnel!$P$9:$P$100="APM")*(Personnel!$G$9:$G$100="Yes")*(62&gt;=Personnel!$E$9:$E$100)*((Personnel!$K$9:$K$100="")+(62&lt;=Personnel!$K$9:$K$100)&gt;0))</f>
        <v>2</v>
      </c>
      <c r="BO44" s="363" t="n">
        <f aca="false">SUMPRODUCT((Personnel!$P$9:$P$100="APM")*(Personnel!$G$9:$G$100="Yes")*(63&gt;=Personnel!$E$9:$E$100)*((Personnel!$K$9:$K$100="")+(63&lt;=Personnel!$K$9:$K$100)&gt;0))</f>
        <v>2</v>
      </c>
      <c r="BP44" s="363" t="n">
        <f aca="false">SUMPRODUCT((Personnel!$P$9:$P$100="APM")*(Personnel!$G$9:$G$100="Yes")*(64&gt;=Personnel!$E$9:$E$100)*((Personnel!$K$9:$K$100="")+(64&lt;=Personnel!$K$9:$K$100)&gt;0))</f>
        <v>2</v>
      </c>
      <c r="BQ44" s="363" t="n">
        <f aca="false">SUMPRODUCT((Personnel!$P$9:$P$100="APM")*(Personnel!$G$9:$G$100="Yes")*(65&gt;=Personnel!$E$9:$E$100)*((Personnel!$K$9:$K$100="")+(65&lt;=Personnel!$K$9:$K$100)&gt;0))</f>
        <v>2</v>
      </c>
      <c r="BR44" s="363" t="n">
        <f aca="false">SUMPRODUCT((Personnel!$P$9:$P$100="APM")*(Personnel!$G$9:$G$100="Yes")*(66&gt;=Personnel!$E$9:$E$100)*((Personnel!$K$9:$K$100="")+(66&lt;=Personnel!$K$9:$K$100)&gt;0))</f>
        <v>2</v>
      </c>
      <c r="BS44" s="363" t="n">
        <f aca="false">SUMPRODUCT((Personnel!$P$9:$P$100="APM")*(Personnel!$G$9:$G$100="Yes")*(67&gt;=Personnel!$E$9:$E$100)*((Personnel!$K$9:$K$100="")+(67&lt;=Personnel!$K$9:$K$100)&gt;0))</f>
        <v>2</v>
      </c>
      <c r="BT44" s="363" t="n">
        <f aca="false">SUMPRODUCT((Personnel!$P$9:$P$100="APM")*(Personnel!$G$9:$G$100="Yes")*(68&gt;=Personnel!$E$9:$E$100)*((Personnel!$K$9:$K$100="")+(68&lt;=Personnel!$K$9:$K$100)&gt;0))</f>
        <v>2</v>
      </c>
      <c r="BU44" s="363" t="n">
        <f aca="false">SUMPRODUCT((Personnel!$P$9:$P$100="APM")*(Personnel!$G$9:$G$100="Yes")*(69&gt;=Personnel!$E$9:$E$100)*((Personnel!$K$9:$K$100="")+(69&lt;=Personnel!$K$9:$K$100)&gt;0))</f>
        <v>2</v>
      </c>
      <c r="BV44" s="363" t="n">
        <f aca="false">SUMPRODUCT((Personnel!$P$9:$P$100="APM")*(Personnel!$G$9:$G$100="Yes")*(70&gt;=Personnel!$E$9:$E$100)*((Personnel!$K$9:$K$100="")+(70&lt;=Personnel!$K$9:$K$100)&gt;0))</f>
        <v>2</v>
      </c>
      <c r="BW44" s="363" t="n">
        <f aca="false">SUMPRODUCT((Personnel!$P$9:$P$100="APM")*(Personnel!$G$9:$G$100="Yes")*(71&gt;=Personnel!$E$9:$E$100)*((Personnel!$K$9:$K$100="")+(71&lt;=Personnel!$K$9:$K$100)&gt;0))</f>
        <v>2</v>
      </c>
      <c r="BX44" s="363" t="n">
        <f aca="false">SUMPRODUCT((Personnel!$P$9:$P$100="APM")*(Personnel!$G$9:$G$100="Yes")*(72&gt;=Personnel!$E$9:$E$100)*((Personnel!$K$9:$K$100="")+(72&lt;=Personnel!$K$9:$K$100)&gt;0))</f>
        <v>2</v>
      </c>
      <c r="BY44" s="363" t="n">
        <f aca="false">SUMPRODUCT((Personnel!$P$9:$P$100="APM")*(Personnel!$G$9:$G$100="Yes")*(73&gt;=Personnel!$E$9:$E$100)*((Personnel!$K$9:$K$100="")+(73&lt;=Personnel!$K$9:$K$100)&gt;0))</f>
        <v>2</v>
      </c>
      <c r="BZ44" s="363" t="n">
        <f aca="false">SUMPRODUCT((Personnel!$P$9:$P$100="APM")*(Personnel!$G$9:$G$100="Yes")*(74&gt;=Personnel!$E$9:$E$100)*((Personnel!$K$9:$K$100="")+(74&lt;=Personnel!$K$9:$K$100)&gt;0))</f>
        <v>2</v>
      </c>
      <c r="CA44" s="363" t="n">
        <f aca="false">SUMPRODUCT((Personnel!$P$9:$P$100="APM")*(Personnel!$G$9:$G$100="Yes")*(75&gt;=Personnel!$E$9:$E$100)*((Personnel!$K$9:$K$100="")+(75&lt;=Personnel!$K$9:$K$100)&gt;0))</f>
        <v>2</v>
      </c>
      <c r="CB44" s="363" t="n">
        <f aca="false">SUMPRODUCT((Personnel!$P$9:$P$100="APM")*(Personnel!$G$9:$G$100="Yes")*(76&gt;=Personnel!$E$9:$E$100)*((Personnel!$K$9:$K$100="")+(76&lt;=Personnel!$K$9:$K$100)&gt;0))</f>
        <v>2</v>
      </c>
      <c r="CC44" s="363" t="n">
        <f aca="false">SUMPRODUCT((Personnel!$P$9:$P$100="APM")*(Personnel!$G$9:$G$100="Yes")*(77&gt;=Personnel!$E$9:$E$100)*((Personnel!$K$9:$K$100="")+(77&lt;=Personnel!$K$9:$K$100)&gt;0))</f>
        <v>2</v>
      </c>
      <c r="CD44" s="363" t="n">
        <f aca="false">SUMPRODUCT((Personnel!$P$9:$P$100="APM")*(Personnel!$G$9:$G$100="Yes")*(78&gt;=Personnel!$E$9:$E$100)*((Personnel!$K$9:$K$100="")+(78&lt;=Personnel!$K$9:$K$100)&gt;0))</f>
        <v>2</v>
      </c>
      <c r="CE44" s="363" t="n">
        <f aca="false">SUMPRODUCT((Personnel!$P$9:$P$100="APM")*(Personnel!$G$9:$G$100="Yes")*(79&gt;=Personnel!$E$9:$E$100)*((Personnel!$K$9:$K$100="")+(79&lt;=Personnel!$K$9:$K$100)&gt;0))</f>
        <v>2</v>
      </c>
      <c r="CF44" s="363" t="n">
        <f aca="false">SUMPRODUCT((Personnel!$P$9:$P$100="APM")*(Personnel!$G$9:$G$100="Yes")*(80&gt;=Personnel!$E$9:$E$100)*((Personnel!$K$9:$K$100="")+(80&lt;=Personnel!$K$9:$K$100)&gt;0))</f>
        <v>2</v>
      </c>
      <c r="CG44" s="363" t="n">
        <f aca="false">SUMPRODUCT((Personnel!$P$9:$P$100="APM")*(Personnel!$G$9:$G$100="Yes")*(81&gt;=Personnel!$E$9:$E$100)*((Personnel!$K$9:$K$100="")+(81&lt;=Personnel!$K$9:$K$100)&gt;0))</f>
        <v>2</v>
      </c>
      <c r="CH44" s="363" t="n">
        <f aca="false">SUMPRODUCT((Personnel!$P$9:$P$100="APM")*(Personnel!$G$9:$G$100="Yes")*(82&gt;=Personnel!$E$9:$E$100)*((Personnel!$K$9:$K$100="")+(82&lt;=Personnel!$K$9:$K$100)&gt;0))</f>
        <v>2</v>
      </c>
      <c r="CI44" s="363" t="n">
        <f aca="false">SUMPRODUCT((Personnel!$P$9:$P$100="APM")*(Personnel!$G$9:$G$100="Yes")*(83&gt;=Personnel!$E$9:$E$100)*((Personnel!$K$9:$K$100="")+(83&lt;=Personnel!$K$9:$K$100)&gt;0))</f>
        <v>2</v>
      </c>
      <c r="CJ44" s="363" t="n">
        <f aca="false">SUMPRODUCT((Personnel!$P$9:$P$100="APM")*(Personnel!$G$9:$G$100="Yes")*(84&gt;=Personnel!$E$9:$E$100)*((Personnel!$K$9:$K$100="")+(84&lt;=Personnel!$K$9:$K$100)&gt;0))</f>
        <v>2</v>
      </c>
      <c r="CK44" s="363" t="n">
        <f aca="false">SUMPRODUCT((Personnel!$P$9:$P$100="APM")*(Personnel!$G$9:$G$100="Yes")*(85&gt;=Personnel!$E$9:$E$100)*((Personnel!$K$9:$K$100="")+(85&lt;=Personnel!$K$9:$K$100)&gt;0))</f>
        <v>2</v>
      </c>
      <c r="CL44" s="363" t="n">
        <f aca="false">SUMPRODUCT((Personnel!$P$9:$P$100="APM")*(Personnel!$G$9:$G$100="Yes")*(86&gt;=Personnel!$E$9:$E$100)*((Personnel!$K$9:$K$100="")+(86&lt;=Personnel!$K$9:$K$100)&gt;0))</f>
        <v>2</v>
      </c>
      <c r="CM44" s="363" t="n">
        <f aca="false">SUMPRODUCT((Personnel!$P$9:$P$100="APM")*(Personnel!$G$9:$G$100="Yes")*(87&gt;=Personnel!$E$9:$E$100)*((Personnel!$K$9:$K$100="")+(87&lt;=Personnel!$K$9:$K$100)&gt;0))</f>
        <v>2</v>
      </c>
      <c r="CN44" s="363" t="n">
        <f aca="false">SUMPRODUCT((Personnel!$P$9:$P$100="APM")*(Personnel!$G$9:$G$100="Yes")*(88&gt;=Personnel!$E$9:$E$100)*((Personnel!$K$9:$K$100="")+(88&lt;=Personnel!$K$9:$K$100)&gt;0))</f>
        <v>2</v>
      </c>
      <c r="CO44" s="363" t="n">
        <f aca="false">SUMPRODUCT((Personnel!$P$9:$P$100="APM")*(Personnel!$G$9:$G$100="Yes")*(89&gt;=Personnel!$E$9:$E$100)*((Personnel!$K$9:$K$100="")+(89&lt;=Personnel!$K$9:$K$100)&gt;0))</f>
        <v>2</v>
      </c>
      <c r="CP44" s="363" t="n">
        <f aca="false">SUMPRODUCT((Personnel!$P$9:$P$100="APM")*(Personnel!$G$9:$G$100="Yes")*(90&gt;=Personnel!$E$9:$E$100)*((Personnel!$K$9:$K$100="")+(90&lt;=Personnel!$K$9:$K$100)&gt;0))</f>
        <v>2</v>
      </c>
      <c r="CQ44" s="363" t="n">
        <f aca="false">SUMPRODUCT((Personnel!$P$9:$P$100="APM")*(Personnel!$G$9:$G$100="Yes")*(91&gt;=Personnel!$E$9:$E$100)*((Personnel!$K$9:$K$100="")+(91&lt;=Personnel!$K$9:$K$100)&gt;0))</f>
        <v>2</v>
      </c>
      <c r="CR44" s="363" t="n">
        <f aca="false">SUMPRODUCT((Personnel!$P$9:$P$100="APM")*(Personnel!$G$9:$G$100="Yes")*(92&gt;=Personnel!$E$9:$E$100)*((Personnel!$K$9:$K$100="")+(92&lt;=Personnel!$K$9:$K$100)&gt;0))</f>
        <v>2</v>
      </c>
      <c r="CS44" s="363" t="n">
        <f aca="false">SUMPRODUCT((Personnel!$P$9:$P$100="APM")*(Personnel!$G$9:$G$100="Yes")*(93&gt;=Personnel!$E$9:$E$100)*((Personnel!$K$9:$K$100="")+(93&lt;=Personnel!$K$9:$K$100)&gt;0))</f>
        <v>2</v>
      </c>
      <c r="CT44" s="363" t="n">
        <f aca="false">SUMPRODUCT((Personnel!$P$9:$P$100="APM")*(Personnel!$G$9:$G$100="Yes")*(94&gt;=Personnel!$E$9:$E$100)*((Personnel!$K$9:$K$100="")+(94&lt;=Personnel!$K$9:$K$100)&gt;0))</f>
        <v>2</v>
      </c>
      <c r="CU44" s="363" t="n">
        <f aca="false">SUMPRODUCT((Personnel!$P$9:$P$100="APM")*(Personnel!$G$9:$G$100="Yes")*(95&gt;=Personnel!$E$9:$E$100)*((Personnel!$K$9:$K$100="")+(95&lt;=Personnel!$K$9:$K$100)&gt;0))</f>
        <v>2</v>
      </c>
      <c r="CV44" s="363" t="n">
        <f aca="false">SUMPRODUCT((Personnel!$P$9:$P$100="APM")*(Personnel!$G$9:$G$100="Yes")*(96&gt;=Personnel!$E$9:$E$100)*((Personnel!$K$9:$K$100="")+(96&lt;=Personnel!$K$9:$K$100)&gt;0))</f>
        <v>2</v>
      </c>
      <c r="CW44" s="363" t="n">
        <f aca="false">SUMPRODUCT((Personnel!$P$9:$P$100="APM")*(Personnel!$G$9:$G$100="Yes")*(97&gt;=Personnel!$E$9:$E$100)*((Personnel!$K$9:$K$100="")+(97&lt;=Personnel!$K$9:$K$100)&gt;0))</f>
        <v>2</v>
      </c>
      <c r="CX44" s="363" t="n">
        <f aca="false">SUMPRODUCT((Personnel!$P$9:$P$100="APM")*(Personnel!$G$9:$G$100="Yes")*(98&gt;=Personnel!$E$9:$E$100)*((Personnel!$K$9:$K$100="")+(98&lt;=Personnel!$K$9:$K$100)&gt;0))</f>
        <v>2</v>
      </c>
      <c r="CY44" s="363" t="n">
        <f aca="false">SUMPRODUCT((Personnel!$P$9:$P$100="APM")*(Personnel!$G$9:$G$100="Yes")*(99&gt;=Personnel!$E$9:$E$100)*((Personnel!$K$9:$K$100="")+(99&lt;=Personnel!$K$9:$K$100)&gt;0))</f>
        <v>2</v>
      </c>
      <c r="CZ44" s="363" t="n">
        <f aca="false">SUMPRODUCT((Personnel!$P$9:$P$100="APM")*(Personnel!$G$9:$G$100="Yes")*(100&gt;=Personnel!$E$9:$E$100)*((Personnel!$K$9:$K$100="")+(100&lt;=Personnel!$K$9:$K$100)&gt;0))</f>
        <v>2</v>
      </c>
      <c r="DA44" s="363" t="n">
        <f aca="false">SUMPRODUCT((Personnel!$P$9:$P$100="APM")*(Personnel!$G$9:$G$100="Yes")*(101&gt;=Personnel!$E$9:$E$100)*((Personnel!$K$9:$K$100="")+(101&lt;=Personnel!$K$9:$K$100)&gt;0))</f>
        <v>2</v>
      </c>
      <c r="DB44" s="363" t="n">
        <f aca="false">SUMPRODUCT((Personnel!$P$9:$P$100="APM")*(Personnel!$G$9:$G$100="Yes")*(102&gt;=Personnel!$E$9:$E$100)*((Personnel!$K$9:$K$100="")+(102&lt;=Personnel!$K$9:$K$100)&gt;0))</f>
        <v>2</v>
      </c>
      <c r="DC44" s="363" t="n">
        <f aca="false">SUMPRODUCT((Personnel!$P$9:$P$100="APM")*(Personnel!$G$9:$G$100="Yes")*(103&gt;=Personnel!$E$9:$E$100)*((Personnel!$K$9:$K$100="")+(103&lt;=Personnel!$K$9:$K$100)&gt;0))</f>
        <v>2</v>
      </c>
      <c r="DD44" s="363" t="n">
        <f aca="false">SUMPRODUCT((Personnel!$P$9:$P$100="APM")*(Personnel!$G$9:$G$100="Yes")*(104&gt;=Personnel!$E$9:$E$100)*((Personnel!$K$9:$K$100="")+(104&lt;=Personnel!$K$9:$K$100)&gt;0))</f>
        <v>2</v>
      </c>
      <c r="DE44" s="363" t="n">
        <f aca="false">SUMPRODUCT((Personnel!$P$9:$P$100="APM")*(Personnel!$G$9:$G$100="Yes")*(105&gt;=Personnel!$E$9:$E$100)*((Personnel!$K$9:$K$100="")+(105&lt;=Personnel!$K$9:$K$100)&gt;0))</f>
        <v>2</v>
      </c>
    </row>
    <row r="45" customFormat="false" ht="13.5" hidden="false" customHeight="true" outlineLevel="0" collapsed="false">
      <c r="A45" s="109" t="s">
        <v>1214</v>
      </c>
      <c r="E45" s="363" t="n">
        <f aca="false">SUMPRODUCT((Personnel!$P$9:$P$100="PM")*(Personnel!$G$9:$G$100="Yes")*(1&gt;=Personnel!$E$9:$E$100)*((Personnel!$K$9:$K$100="")+(1&lt;=Personnel!$K$9:$K$100)&gt;0))</f>
        <v>3</v>
      </c>
      <c r="F45" s="363" t="n">
        <f aca="false">SUMPRODUCT((Personnel!$P$9:$P$100="PM")*(Personnel!$G$9:$G$100="Yes")*(2&gt;=Personnel!$E$9:$E$100)*((Personnel!$K$9:$K$100="")+(2&lt;=Personnel!$K$9:$K$100)&gt;0))</f>
        <v>3</v>
      </c>
      <c r="G45" s="363" t="n">
        <f aca="false">SUMPRODUCT((Personnel!$P$9:$P$100="PM")*(Personnel!$G$9:$G$100="Yes")*(3&gt;=Personnel!$E$9:$E$100)*((Personnel!$K$9:$K$100="")+(3&lt;=Personnel!$K$9:$K$100)&gt;0))</f>
        <v>3</v>
      </c>
      <c r="H45" s="363" t="n">
        <f aca="false">SUMPRODUCT((Personnel!$P$9:$P$100="PM")*(Personnel!$G$9:$G$100="Yes")*(4&gt;=Personnel!$E$9:$E$100)*((Personnel!$K$9:$K$100="")+(4&lt;=Personnel!$K$9:$K$100)&gt;0))</f>
        <v>3</v>
      </c>
      <c r="I45" s="363" t="n">
        <f aca="false">SUMPRODUCT((Personnel!$P$9:$P$100="PM")*(Personnel!$G$9:$G$100="Yes")*(5&gt;=Personnel!$E$9:$E$100)*((Personnel!$K$9:$K$100="")+(5&lt;=Personnel!$K$9:$K$100)&gt;0))</f>
        <v>3</v>
      </c>
      <c r="J45" s="363" t="n">
        <f aca="false">SUMPRODUCT((Personnel!$P$9:$P$100="PM")*(Personnel!$G$9:$G$100="Yes")*(6&gt;=Personnel!$E$9:$E$100)*((Personnel!$K$9:$K$100="")+(6&lt;=Personnel!$K$9:$K$100)&gt;0))</f>
        <v>3</v>
      </c>
      <c r="K45" s="363" t="n">
        <f aca="false">SUMPRODUCT((Personnel!$P$9:$P$100="PM")*(Personnel!$G$9:$G$100="Yes")*(7&gt;=Personnel!$E$9:$E$100)*((Personnel!$K$9:$K$100="")+(7&lt;=Personnel!$K$9:$K$100)&gt;0))</f>
        <v>3</v>
      </c>
      <c r="L45" s="363" t="n">
        <f aca="false">SUMPRODUCT((Personnel!$P$9:$P$100="PM")*(Personnel!$G$9:$G$100="Yes")*(8&gt;=Personnel!$E$9:$E$100)*((Personnel!$K$9:$K$100="")+(8&lt;=Personnel!$K$9:$K$100)&gt;0))</f>
        <v>3</v>
      </c>
      <c r="M45" s="363" t="n">
        <f aca="false">SUMPRODUCT((Personnel!$P$9:$P$100="PM")*(Personnel!$G$9:$G$100="Yes")*(9&gt;=Personnel!$E$9:$E$100)*((Personnel!$K$9:$K$100="")+(9&lt;=Personnel!$K$9:$K$100)&gt;0))</f>
        <v>3</v>
      </c>
      <c r="N45" s="363" t="n">
        <f aca="false">SUMPRODUCT((Personnel!$P$9:$P$100="PM")*(Personnel!$G$9:$G$100="Yes")*(10&gt;=Personnel!$E$9:$E$100)*((Personnel!$K$9:$K$100="")+(10&lt;=Personnel!$K$9:$K$100)&gt;0))</f>
        <v>3</v>
      </c>
      <c r="O45" s="363" t="n">
        <f aca="false">SUMPRODUCT((Personnel!$P$9:$P$100="PM")*(Personnel!$G$9:$G$100="Yes")*(11&gt;=Personnel!$E$9:$E$100)*((Personnel!$K$9:$K$100="")+(11&lt;=Personnel!$K$9:$K$100)&gt;0))</f>
        <v>3</v>
      </c>
      <c r="P45" s="363" t="n">
        <f aca="false">SUMPRODUCT((Personnel!$P$9:$P$100="PM")*(Personnel!$G$9:$G$100="Yes")*(12&gt;=Personnel!$E$9:$E$100)*((Personnel!$K$9:$K$100="")+(12&lt;=Personnel!$K$9:$K$100)&gt;0))</f>
        <v>3</v>
      </c>
      <c r="Q45" s="363" t="n">
        <f aca="false">SUMPRODUCT((Personnel!$P$9:$P$100="PM")*(Personnel!$G$9:$G$100="Yes")*(13&gt;=Personnel!$E$9:$E$100)*((Personnel!$K$9:$K$100="")+(13&lt;=Personnel!$K$9:$K$100)&gt;0))</f>
        <v>3</v>
      </c>
      <c r="R45" s="363" t="n">
        <f aca="false">SUMPRODUCT((Personnel!$P$9:$P$100="PM")*(Personnel!$G$9:$G$100="Yes")*(14&gt;=Personnel!$E$9:$E$100)*((Personnel!$K$9:$K$100="")+(14&lt;=Personnel!$K$9:$K$100)&gt;0))</f>
        <v>3</v>
      </c>
      <c r="S45" s="363" t="n">
        <f aca="false">SUMPRODUCT((Personnel!$P$9:$P$100="PM")*(Personnel!$G$9:$G$100="Yes")*(15&gt;=Personnel!$E$9:$E$100)*((Personnel!$K$9:$K$100="")+(15&lt;=Personnel!$K$9:$K$100)&gt;0))</f>
        <v>3</v>
      </c>
      <c r="T45" s="363" t="n">
        <f aca="false">SUMPRODUCT((Personnel!$P$9:$P$100="PM")*(Personnel!$G$9:$G$100="Yes")*(16&gt;=Personnel!$E$9:$E$100)*((Personnel!$K$9:$K$100="")+(16&lt;=Personnel!$K$9:$K$100)&gt;0))</f>
        <v>3</v>
      </c>
      <c r="U45" s="363" t="n">
        <f aca="false">SUMPRODUCT((Personnel!$P$9:$P$100="PM")*(Personnel!$G$9:$G$100="Yes")*(17&gt;=Personnel!$E$9:$E$100)*((Personnel!$K$9:$K$100="")+(17&lt;=Personnel!$K$9:$K$100)&gt;0))</f>
        <v>3</v>
      </c>
      <c r="V45" s="363" t="n">
        <f aca="false">SUMPRODUCT((Personnel!$P$9:$P$100="PM")*(Personnel!$G$9:$G$100="Yes")*(18&gt;=Personnel!$E$9:$E$100)*((Personnel!$K$9:$K$100="")+(18&lt;=Personnel!$K$9:$K$100)&gt;0))</f>
        <v>3</v>
      </c>
      <c r="W45" s="363" t="n">
        <f aca="false">SUMPRODUCT((Personnel!$P$9:$P$100="PM")*(Personnel!$G$9:$G$100="Yes")*(19&gt;=Personnel!$E$9:$E$100)*((Personnel!$K$9:$K$100="")+(19&lt;=Personnel!$K$9:$K$100)&gt;0))</f>
        <v>3</v>
      </c>
      <c r="X45" s="363" t="n">
        <f aca="false">SUMPRODUCT((Personnel!$P$9:$P$100="PM")*(Personnel!$G$9:$G$100="Yes")*(20&gt;=Personnel!$E$9:$E$100)*((Personnel!$K$9:$K$100="")+(20&lt;=Personnel!$K$9:$K$100)&gt;0))</f>
        <v>3</v>
      </c>
      <c r="Y45" s="363" t="n">
        <f aca="false">SUMPRODUCT((Personnel!$P$9:$P$100="PM")*(Personnel!$G$9:$G$100="Yes")*(21&gt;=Personnel!$E$9:$E$100)*((Personnel!$K$9:$K$100="")+(21&lt;=Personnel!$K$9:$K$100)&gt;0))</f>
        <v>3</v>
      </c>
      <c r="Z45" s="363" t="n">
        <f aca="false">SUMPRODUCT((Personnel!$P$9:$P$100="PM")*(Personnel!$G$9:$G$100="Yes")*(22&gt;=Personnel!$E$9:$E$100)*((Personnel!$K$9:$K$100="")+(22&lt;=Personnel!$K$9:$K$100)&gt;0))</f>
        <v>3</v>
      </c>
      <c r="AA45" s="363" t="n">
        <f aca="false">SUMPRODUCT((Personnel!$P$9:$P$100="PM")*(Personnel!$G$9:$G$100="Yes")*(23&gt;=Personnel!$E$9:$E$100)*((Personnel!$K$9:$K$100="")+(23&lt;=Personnel!$K$9:$K$100)&gt;0))</f>
        <v>3</v>
      </c>
      <c r="AB45" s="363" t="n">
        <f aca="false">SUMPRODUCT((Personnel!$P$9:$P$100="PM")*(Personnel!$G$9:$G$100="Yes")*(24&gt;=Personnel!$E$9:$E$100)*((Personnel!$K$9:$K$100="")+(24&lt;=Personnel!$K$9:$K$100)&gt;0))</f>
        <v>3</v>
      </c>
      <c r="AC45" s="363" t="n">
        <f aca="false">SUMPRODUCT((Personnel!$P$9:$P$100="PM")*(Personnel!$G$9:$G$100="Yes")*(25&gt;=Personnel!$E$9:$E$100)*((Personnel!$K$9:$K$100="")+(25&lt;=Personnel!$K$9:$K$100)&gt;0))</f>
        <v>3</v>
      </c>
      <c r="AD45" s="363" t="n">
        <f aca="false">SUMPRODUCT((Personnel!$P$9:$P$100="PM")*(Personnel!$G$9:$G$100="Yes")*(26&gt;=Personnel!$E$9:$E$100)*((Personnel!$K$9:$K$100="")+(26&lt;=Personnel!$K$9:$K$100)&gt;0))</f>
        <v>3</v>
      </c>
      <c r="AE45" s="363" t="n">
        <f aca="false">SUMPRODUCT((Personnel!$P$9:$P$100="PM")*(Personnel!$G$9:$G$100="Yes")*(27&gt;=Personnel!$E$9:$E$100)*((Personnel!$K$9:$K$100="")+(27&lt;=Personnel!$K$9:$K$100)&gt;0))</f>
        <v>3</v>
      </c>
      <c r="AF45" s="363" t="n">
        <f aca="false">SUMPRODUCT((Personnel!$P$9:$P$100="PM")*(Personnel!$G$9:$G$100="Yes")*(28&gt;=Personnel!$E$9:$E$100)*((Personnel!$K$9:$K$100="")+(28&lt;=Personnel!$K$9:$K$100)&gt;0))</f>
        <v>3</v>
      </c>
      <c r="AG45" s="363" t="n">
        <f aca="false">SUMPRODUCT((Personnel!$P$9:$P$100="PM")*(Personnel!$G$9:$G$100="Yes")*(29&gt;=Personnel!$E$9:$E$100)*((Personnel!$K$9:$K$100="")+(29&lt;=Personnel!$K$9:$K$100)&gt;0))</f>
        <v>3</v>
      </c>
      <c r="AH45" s="363" t="n">
        <f aca="false">SUMPRODUCT((Personnel!$P$9:$P$100="PM")*(Personnel!$G$9:$G$100="Yes")*(30&gt;=Personnel!$E$9:$E$100)*((Personnel!$K$9:$K$100="")+(30&lt;=Personnel!$K$9:$K$100)&gt;0))</f>
        <v>3</v>
      </c>
      <c r="AI45" s="363" t="n">
        <f aca="false">SUMPRODUCT((Personnel!$P$9:$P$100="PM")*(Personnel!$G$9:$G$100="Yes")*(31&gt;=Personnel!$E$9:$E$100)*((Personnel!$K$9:$K$100="")+(31&lt;=Personnel!$K$9:$K$100)&gt;0))</f>
        <v>3</v>
      </c>
      <c r="AJ45" s="363" t="n">
        <f aca="false">SUMPRODUCT((Personnel!$P$9:$P$100="PM")*(Personnel!$G$9:$G$100="Yes")*(32&gt;=Personnel!$E$9:$E$100)*((Personnel!$K$9:$K$100="")+(32&lt;=Personnel!$K$9:$K$100)&gt;0))</f>
        <v>3</v>
      </c>
      <c r="AK45" s="363" t="n">
        <f aca="false">SUMPRODUCT((Personnel!$P$9:$P$100="PM")*(Personnel!$G$9:$G$100="Yes")*(33&gt;=Personnel!$E$9:$E$100)*((Personnel!$K$9:$K$100="")+(33&lt;=Personnel!$K$9:$K$100)&gt;0))</f>
        <v>3</v>
      </c>
      <c r="AL45" s="363" t="n">
        <f aca="false">SUMPRODUCT((Personnel!$P$9:$P$100="PM")*(Personnel!$G$9:$G$100="Yes")*(34&gt;=Personnel!$E$9:$E$100)*((Personnel!$K$9:$K$100="")+(34&lt;=Personnel!$K$9:$K$100)&gt;0))</f>
        <v>3</v>
      </c>
      <c r="AM45" s="363" t="n">
        <f aca="false">SUMPRODUCT((Personnel!$P$9:$P$100="PM")*(Personnel!$G$9:$G$100="Yes")*(35&gt;=Personnel!$E$9:$E$100)*((Personnel!$K$9:$K$100="")+(35&lt;=Personnel!$K$9:$K$100)&gt;0))</f>
        <v>3</v>
      </c>
      <c r="AN45" s="363" t="n">
        <f aca="false">SUMPRODUCT((Personnel!$P$9:$P$100="PM")*(Personnel!$G$9:$G$100="Yes")*(36&gt;=Personnel!$E$9:$E$100)*((Personnel!$K$9:$K$100="")+(36&lt;=Personnel!$K$9:$K$100)&gt;0))</f>
        <v>3</v>
      </c>
      <c r="AO45" s="363" t="n">
        <f aca="false">SUMPRODUCT((Personnel!$P$9:$P$100="PM")*(Personnel!$G$9:$G$100="Yes")*(37&gt;=Personnel!$E$9:$E$100)*((Personnel!$K$9:$K$100="")+(37&lt;=Personnel!$K$9:$K$100)&gt;0))</f>
        <v>3</v>
      </c>
      <c r="AP45" s="363" t="n">
        <f aca="false">SUMPRODUCT((Personnel!$P$9:$P$100="PM")*(Personnel!$G$9:$G$100="Yes")*(38&gt;=Personnel!$E$9:$E$100)*((Personnel!$K$9:$K$100="")+(38&lt;=Personnel!$K$9:$K$100)&gt;0))</f>
        <v>3</v>
      </c>
      <c r="AQ45" s="363" t="n">
        <f aca="false">SUMPRODUCT((Personnel!$P$9:$P$100="PM")*(Personnel!$G$9:$G$100="Yes")*(39&gt;=Personnel!$E$9:$E$100)*((Personnel!$K$9:$K$100="")+(39&lt;=Personnel!$K$9:$K$100)&gt;0))</f>
        <v>3</v>
      </c>
      <c r="AR45" s="363" t="n">
        <f aca="false">SUMPRODUCT((Personnel!$P$9:$P$100="PM")*(Personnel!$G$9:$G$100="Yes")*(40&gt;=Personnel!$E$9:$E$100)*((Personnel!$K$9:$K$100="")+(40&lt;=Personnel!$K$9:$K$100)&gt;0))</f>
        <v>3</v>
      </c>
      <c r="AS45" s="363" t="n">
        <f aca="false">SUMPRODUCT((Personnel!$P$9:$P$100="PM")*(Personnel!$G$9:$G$100="Yes")*(41&gt;=Personnel!$E$9:$E$100)*((Personnel!$K$9:$K$100="")+(41&lt;=Personnel!$K$9:$K$100)&gt;0))</f>
        <v>3</v>
      </c>
      <c r="AT45" s="363" t="n">
        <f aca="false">SUMPRODUCT((Personnel!$P$9:$P$100="PM")*(Personnel!$G$9:$G$100="Yes")*(42&gt;=Personnel!$E$9:$E$100)*((Personnel!$K$9:$K$100="")+(42&lt;=Personnel!$K$9:$K$100)&gt;0))</f>
        <v>3</v>
      </c>
      <c r="AU45" s="363" t="n">
        <f aca="false">SUMPRODUCT((Personnel!$P$9:$P$100="PM")*(Personnel!$G$9:$G$100="Yes")*(43&gt;=Personnel!$E$9:$E$100)*((Personnel!$K$9:$K$100="")+(43&lt;=Personnel!$K$9:$K$100)&gt;0))</f>
        <v>3</v>
      </c>
      <c r="AV45" s="363" t="n">
        <f aca="false">SUMPRODUCT((Personnel!$P$9:$P$100="PM")*(Personnel!$G$9:$G$100="Yes")*(44&gt;=Personnel!$E$9:$E$100)*((Personnel!$K$9:$K$100="")+(44&lt;=Personnel!$K$9:$K$100)&gt;0))</f>
        <v>3</v>
      </c>
      <c r="AW45" s="363" t="n">
        <f aca="false">SUMPRODUCT((Personnel!$P$9:$P$100="PM")*(Personnel!$G$9:$G$100="Yes")*(45&gt;=Personnel!$E$9:$E$100)*((Personnel!$K$9:$K$100="")+(45&lt;=Personnel!$K$9:$K$100)&gt;0))</f>
        <v>3</v>
      </c>
      <c r="AX45" s="363" t="n">
        <f aca="false">SUMPRODUCT((Personnel!$P$9:$P$100="PM")*(Personnel!$G$9:$G$100="Yes")*(46&gt;=Personnel!$E$9:$E$100)*((Personnel!$K$9:$K$100="")+(46&lt;=Personnel!$K$9:$K$100)&gt;0))</f>
        <v>3</v>
      </c>
      <c r="AY45" s="363" t="n">
        <f aca="false">SUMPRODUCT((Personnel!$P$9:$P$100="PM")*(Personnel!$G$9:$G$100="Yes")*(47&gt;=Personnel!$E$9:$E$100)*((Personnel!$K$9:$K$100="")+(47&lt;=Personnel!$K$9:$K$100)&gt;0))</f>
        <v>3</v>
      </c>
      <c r="AZ45" s="363" t="n">
        <f aca="false">SUMPRODUCT((Personnel!$P$9:$P$100="PM")*(Personnel!$G$9:$G$100="Yes")*(48&gt;=Personnel!$E$9:$E$100)*((Personnel!$K$9:$K$100="")+(48&lt;=Personnel!$K$9:$K$100)&gt;0))</f>
        <v>3</v>
      </c>
      <c r="BA45" s="363" t="n">
        <f aca="false">SUMPRODUCT((Personnel!$P$9:$P$100="PM")*(Personnel!$G$9:$G$100="Yes")*(49&gt;=Personnel!$E$9:$E$100)*((Personnel!$K$9:$K$100="")+(49&lt;=Personnel!$K$9:$K$100)&gt;0))</f>
        <v>3</v>
      </c>
      <c r="BB45" s="363" t="n">
        <f aca="false">SUMPRODUCT((Personnel!$P$9:$P$100="PM")*(Personnel!$G$9:$G$100="Yes")*(50&gt;=Personnel!$E$9:$E$100)*((Personnel!$K$9:$K$100="")+(50&lt;=Personnel!$K$9:$K$100)&gt;0))</f>
        <v>3</v>
      </c>
      <c r="BC45" s="363" t="n">
        <f aca="false">SUMPRODUCT((Personnel!$P$9:$P$100="PM")*(Personnel!$G$9:$G$100="Yes")*(51&gt;=Personnel!$E$9:$E$100)*((Personnel!$K$9:$K$100="")+(51&lt;=Personnel!$K$9:$K$100)&gt;0))</f>
        <v>3</v>
      </c>
      <c r="BD45" s="363" t="n">
        <f aca="false">SUMPRODUCT((Personnel!$P$9:$P$100="PM")*(Personnel!$G$9:$G$100="Yes")*(52&gt;=Personnel!$E$9:$E$100)*((Personnel!$K$9:$K$100="")+(52&lt;=Personnel!$K$9:$K$100)&gt;0))</f>
        <v>3</v>
      </c>
      <c r="BE45" s="363" t="n">
        <f aca="false">SUMPRODUCT((Personnel!$P$9:$P$100="PM")*(Personnel!$G$9:$G$100="Yes")*(53&gt;=Personnel!$E$9:$E$100)*((Personnel!$K$9:$K$100="")+(53&lt;=Personnel!$K$9:$K$100)&gt;0))</f>
        <v>3</v>
      </c>
      <c r="BF45" s="363" t="n">
        <f aca="false">SUMPRODUCT((Personnel!$P$9:$P$100="PM")*(Personnel!$G$9:$G$100="Yes")*(54&gt;=Personnel!$E$9:$E$100)*((Personnel!$K$9:$K$100="")+(54&lt;=Personnel!$K$9:$K$100)&gt;0))</f>
        <v>3</v>
      </c>
      <c r="BG45" s="363" t="n">
        <f aca="false">SUMPRODUCT((Personnel!$P$9:$P$100="PM")*(Personnel!$G$9:$G$100="Yes")*(55&gt;=Personnel!$E$9:$E$100)*((Personnel!$K$9:$K$100="")+(55&lt;=Personnel!$K$9:$K$100)&gt;0))</f>
        <v>3</v>
      </c>
      <c r="BH45" s="363" t="n">
        <f aca="false">SUMPRODUCT((Personnel!$P$9:$P$100="PM")*(Personnel!$G$9:$G$100="Yes")*(56&gt;=Personnel!$E$9:$E$100)*((Personnel!$K$9:$K$100="")+(56&lt;=Personnel!$K$9:$K$100)&gt;0))</f>
        <v>3</v>
      </c>
      <c r="BI45" s="363" t="n">
        <f aca="false">SUMPRODUCT((Personnel!$P$9:$P$100="PM")*(Personnel!$G$9:$G$100="Yes")*(57&gt;=Personnel!$E$9:$E$100)*((Personnel!$K$9:$K$100="")+(57&lt;=Personnel!$K$9:$K$100)&gt;0))</f>
        <v>3</v>
      </c>
      <c r="BJ45" s="363" t="n">
        <f aca="false">SUMPRODUCT((Personnel!$P$9:$P$100="PM")*(Personnel!$G$9:$G$100="Yes")*(58&gt;=Personnel!$E$9:$E$100)*((Personnel!$K$9:$K$100="")+(58&lt;=Personnel!$K$9:$K$100)&gt;0))</f>
        <v>3</v>
      </c>
      <c r="BK45" s="363" t="n">
        <f aca="false">SUMPRODUCT((Personnel!$P$9:$P$100="PM")*(Personnel!$G$9:$G$100="Yes")*(59&gt;=Personnel!$E$9:$E$100)*((Personnel!$K$9:$K$100="")+(59&lt;=Personnel!$K$9:$K$100)&gt;0))</f>
        <v>3</v>
      </c>
      <c r="BL45" s="363" t="n">
        <f aca="false">SUMPRODUCT((Personnel!$P$9:$P$100="PM")*(Personnel!$G$9:$G$100="Yes")*(60&gt;=Personnel!$E$9:$E$100)*((Personnel!$K$9:$K$100="")+(60&lt;=Personnel!$K$9:$K$100)&gt;0))</f>
        <v>3</v>
      </c>
      <c r="BM45" s="363" t="n">
        <f aca="false">SUMPRODUCT((Personnel!$P$9:$P$100="PM")*(Personnel!$G$9:$G$100="Yes")*(61&gt;=Personnel!$E$9:$E$100)*((Personnel!$K$9:$K$100="")+(61&lt;=Personnel!$K$9:$K$100)&gt;0))</f>
        <v>3</v>
      </c>
      <c r="BN45" s="363" t="n">
        <f aca="false">SUMPRODUCT((Personnel!$P$9:$P$100="PM")*(Personnel!$G$9:$G$100="Yes")*(62&gt;=Personnel!$E$9:$E$100)*((Personnel!$K$9:$K$100="")+(62&lt;=Personnel!$K$9:$K$100)&gt;0))</f>
        <v>3</v>
      </c>
      <c r="BO45" s="363" t="n">
        <f aca="false">SUMPRODUCT((Personnel!$P$9:$P$100="PM")*(Personnel!$G$9:$G$100="Yes")*(63&gt;=Personnel!$E$9:$E$100)*((Personnel!$K$9:$K$100="")+(63&lt;=Personnel!$K$9:$K$100)&gt;0))</f>
        <v>3</v>
      </c>
      <c r="BP45" s="363" t="n">
        <f aca="false">SUMPRODUCT((Personnel!$P$9:$P$100="PM")*(Personnel!$G$9:$G$100="Yes")*(64&gt;=Personnel!$E$9:$E$100)*((Personnel!$K$9:$K$100="")+(64&lt;=Personnel!$K$9:$K$100)&gt;0))</f>
        <v>3</v>
      </c>
      <c r="BQ45" s="363" t="n">
        <f aca="false">SUMPRODUCT((Personnel!$P$9:$P$100="PM")*(Personnel!$G$9:$G$100="Yes")*(65&gt;=Personnel!$E$9:$E$100)*((Personnel!$K$9:$K$100="")+(65&lt;=Personnel!$K$9:$K$100)&gt;0))</f>
        <v>3</v>
      </c>
      <c r="BR45" s="363" t="n">
        <f aca="false">SUMPRODUCT((Personnel!$P$9:$P$100="PM")*(Personnel!$G$9:$G$100="Yes")*(66&gt;=Personnel!$E$9:$E$100)*((Personnel!$K$9:$K$100="")+(66&lt;=Personnel!$K$9:$K$100)&gt;0))</f>
        <v>3</v>
      </c>
      <c r="BS45" s="363" t="n">
        <f aca="false">SUMPRODUCT((Personnel!$P$9:$P$100="PM")*(Personnel!$G$9:$G$100="Yes")*(67&gt;=Personnel!$E$9:$E$100)*((Personnel!$K$9:$K$100="")+(67&lt;=Personnel!$K$9:$K$100)&gt;0))</f>
        <v>3</v>
      </c>
      <c r="BT45" s="363" t="n">
        <f aca="false">SUMPRODUCT((Personnel!$P$9:$P$100="PM")*(Personnel!$G$9:$G$100="Yes")*(68&gt;=Personnel!$E$9:$E$100)*((Personnel!$K$9:$K$100="")+(68&lt;=Personnel!$K$9:$K$100)&gt;0))</f>
        <v>3</v>
      </c>
      <c r="BU45" s="363" t="n">
        <f aca="false">SUMPRODUCT((Personnel!$P$9:$P$100="PM")*(Personnel!$G$9:$G$100="Yes")*(69&gt;=Personnel!$E$9:$E$100)*((Personnel!$K$9:$K$100="")+(69&lt;=Personnel!$K$9:$K$100)&gt;0))</f>
        <v>3</v>
      </c>
      <c r="BV45" s="363" t="n">
        <f aca="false">SUMPRODUCT((Personnel!$P$9:$P$100="PM")*(Personnel!$G$9:$G$100="Yes")*(70&gt;=Personnel!$E$9:$E$100)*((Personnel!$K$9:$K$100="")+(70&lt;=Personnel!$K$9:$K$100)&gt;0))</f>
        <v>3</v>
      </c>
      <c r="BW45" s="363" t="n">
        <f aca="false">SUMPRODUCT((Personnel!$P$9:$P$100="PM")*(Personnel!$G$9:$G$100="Yes")*(71&gt;=Personnel!$E$9:$E$100)*((Personnel!$K$9:$K$100="")+(71&lt;=Personnel!$K$9:$K$100)&gt;0))</f>
        <v>3</v>
      </c>
      <c r="BX45" s="363" t="n">
        <f aca="false">SUMPRODUCT((Personnel!$P$9:$P$100="PM")*(Personnel!$G$9:$G$100="Yes")*(72&gt;=Personnel!$E$9:$E$100)*((Personnel!$K$9:$K$100="")+(72&lt;=Personnel!$K$9:$K$100)&gt;0))</f>
        <v>3</v>
      </c>
      <c r="BY45" s="363" t="n">
        <f aca="false">SUMPRODUCT((Personnel!$P$9:$P$100="PM")*(Personnel!$G$9:$G$100="Yes")*(73&gt;=Personnel!$E$9:$E$100)*((Personnel!$K$9:$K$100="")+(73&lt;=Personnel!$K$9:$K$100)&gt;0))</f>
        <v>3</v>
      </c>
      <c r="BZ45" s="363" t="n">
        <f aca="false">SUMPRODUCT((Personnel!$P$9:$P$100="PM")*(Personnel!$G$9:$G$100="Yes")*(74&gt;=Personnel!$E$9:$E$100)*((Personnel!$K$9:$K$100="")+(74&lt;=Personnel!$K$9:$K$100)&gt;0))</f>
        <v>3</v>
      </c>
      <c r="CA45" s="363" t="n">
        <f aca="false">SUMPRODUCT((Personnel!$P$9:$P$100="PM")*(Personnel!$G$9:$G$100="Yes")*(75&gt;=Personnel!$E$9:$E$100)*((Personnel!$K$9:$K$100="")+(75&lt;=Personnel!$K$9:$K$100)&gt;0))</f>
        <v>3</v>
      </c>
      <c r="CB45" s="363" t="n">
        <f aca="false">SUMPRODUCT((Personnel!$P$9:$P$100="PM")*(Personnel!$G$9:$G$100="Yes")*(76&gt;=Personnel!$E$9:$E$100)*((Personnel!$K$9:$K$100="")+(76&lt;=Personnel!$K$9:$K$100)&gt;0))</f>
        <v>3</v>
      </c>
      <c r="CC45" s="363" t="n">
        <f aca="false">SUMPRODUCT((Personnel!$P$9:$P$100="PM")*(Personnel!$G$9:$G$100="Yes")*(77&gt;=Personnel!$E$9:$E$100)*((Personnel!$K$9:$K$100="")+(77&lt;=Personnel!$K$9:$K$100)&gt;0))</f>
        <v>3</v>
      </c>
      <c r="CD45" s="363" t="n">
        <f aca="false">SUMPRODUCT((Personnel!$P$9:$P$100="PM")*(Personnel!$G$9:$G$100="Yes")*(78&gt;=Personnel!$E$9:$E$100)*((Personnel!$K$9:$K$100="")+(78&lt;=Personnel!$K$9:$K$100)&gt;0))</f>
        <v>3</v>
      </c>
      <c r="CE45" s="363" t="n">
        <f aca="false">SUMPRODUCT((Personnel!$P$9:$P$100="PM")*(Personnel!$G$9:$G$100="Yes")*(79&gt;=Personnel!$E$9:$E$100)*((Personnel!$K$9:$K$100="")+(79&lt;=Personnel!$K$9:$K$100)&gt;0))</f>
        <v>3</v>
      </c>
      <c r="CF45" s="363" t="n">
        <f aca="false">SUMPRODUCT((Personnel!$P$9:$P$100="PM")*(Personnel!$G$9:$G$100="Yes")*(80&gt;=Personnel!$E$9:$E$100)*((Personnel!$K$9:$K$100="")+(80&lt;=Personnel!$K$9:$K$100)&gt;0))</f>
        <v>3</v>
      </c>
      <c r="CG45" s="363" t="n">
        <f aca="false">SUMPRODUCT((Personnel!$P$9:$P$100="PM")*(Personnel!$G$9:$G$100="Yes")*(81&gt;=Personnel!$E$9:$E$100)*((Personnel!$K$9:$K$100="")+(81&lt;=Personnel!$K$9:$K$100)&gt;0))</f>
        <v>3</v>
      </c>
      <c r="CH45" s="363" t="n">
        <f aca="false">SUMPRODUCT((Personnel!$P$9:$P$100="PM")*(Personnel!$G$9:$G$100="Yes")*(82&gt;=Personnel!$E$9:$E$100)*((Personnel!$K$9:$K$100="")+(82&lt;=Personnel!$K$9:$K$100)&gt;0))</f>
        <v>3</v>
      </c>
      <c r="CI45" s="363" t="n">
        <f aca="false">SUMPRODUCT((Personnel!$P$9:$P$100="PM")*(Personnel!$G$9:$G$100="Yes")*(83&gt;=Personnel!$E$9:$E$100)*((Personnel!$K$9:$K$100="")+(83&lt;=Personnel!$K$9:$K$100)&gt;0))</f>
        <v>3</v>
      </c>
      <c r="CJ45" s="363" t="n">
        <f aca="false">SUMPRODUCT((Personnel!$P$9:$P$100="PM")*(Personnel!$G$9:$G$100="Yes")*(84&gt;=Personnel!$E$9:$E$100)*((Personnel!$K$9:$K$100="")+(84&lt;=Personnel!$K$9:$K$100)&gt;0))</f>
        <v>3</v>
      </c>
      <c r="CK45" s="363" t="n">
        <f aca="false">SUMPRODUCT((Personnel!$P$9:$P$100="PM")*(Personnel!$G$9:$G$100="Yes")*(85&gt;=Personnel!$E$9:$E$100)*((Personnel!$K$9:$K$100="")+(85&lt;=Personnel!$K$9:$K$100)&gt;0))</f>
        <v>3</v>
      </c>
      <c r="CL45" s="363" t="n">
        <f aca="false">SUMPRODUCT((Personnel!$P$9:$P$100="PM")*(Personnel!$G$9:$G$100="Yes")*(86&gt;=Personnel!$E$9:$E$100)*((Personnel!$K$9:$K$100="")+(86&lt;=Personnel!$K$9:$K$100)&gt;0))</f>
        <v>3</v>
      </c>
      <c r="CM45" s="363" t="n">
        <f aca="false">SUMPRODUCT((Personnel!$P$9:$P$100="PM")*(Personnel!$G$9:$G$100="Yes")*(87&gt;=Personnel!$E$9:$E$100)*((Personnel!$K$9:$K$100="")+(87&lt;=Personnel!$K$9:$K$100)&gt;0))</f>
        <v>3</v>
      </c>
      <c r="CN45" s="363" t="n">
        <f aca="false">SUMPRODUCT((Personnel!$P$9:$P$100="PM")*(Personnel!$G$9:$G$100="Yes")*(88&gt;=Personnel!$E$9:$E$100)*((Personnel!$K$9:$K$100="")+(88&lt;=Personnel!$K$9:$K$100)&gt;0))</f>
        <v>3</v>
      </c>
      <c r="CO45" s="363" t="n">
        <f aca="false">SUMPRODUCT((Personnel!$P$9:$P$100="PM")*(Personnel!$G$9:$G$100="Yes")*(89&gt;=Personnel!$E$9:$E$100)*((Personnel!$K$9:$K$100="")+(89&lt;=Personnel!$K$9:$K$100)&gt;0))</f>
        <v>3</v>
      </c>
      <c r="CP45" s="363" t="n">
        <f aca="false">SUMPRODUCT((Personnel!$P$9:$P$100="PM")*(Personnel!$G$9:$G$100="Yes")*(90&gt;=Personnel!$E$9:$E$100)*((Personnel!$K$9:$K$100="")+(90&lt;=Personnel!$K$9:$K$100)&gt;0))</f>
        <v>3</v>
      </c>
      <c r="CQ45" s="363" t="n">
        <f aca="false">SUMPRODUCT((Personnel!$P$9:$P$100="PM")*(Personnel!$G$9:$G$100="Yes")*(91&gt;=Personnel!$E$9:$E$100)*((Personnel!$K$9:$K$100="")+(91&lt;=Personnel!$K$9:$K$100)&gt;0))</f>
        <v>3</v>
      </c>
      <c r="CR45" s="363" t="n">
        <f aca="false">SUMPRODUCT((Personnel!$P$9:$P$100="PM")*(Personnel!$G$9:$G$100="Yes")*(92&gt;=Personnel!$E$9:$E$100)*((Personnel!$K$9:$K$100="")+(92&lt;=Personnel!$K$9:$K$100)&gt;0))</f>
        <v>3</v>
      </c>
      <c r="CS45" s="363" t="n">
        <f aca="false">SUMPRODUCT((Personnel!$P$9:$P$100="PM")*(Personnel!$G$9:$G$100="Yes")*(93&gt;=Personnel!$E$9:$E$100)*((Personnel!$K$9:$K$100="")+(93&lt;=Personnel!$K$9:$K$100)&gt;0))</f>
        <v>3</v>
      </c>
      <c r="CT45" s="363" t="n">
        <f aca="false">SUMPRODUCT((Personnel!$P$9:$P$100="PM")*(Personnel!$G$9:$G$100="Yes")*(94&gt;=Personnel!$E$9:$E$100)*((Personnel!$K$9:$K$100="")+(94&lt;=Personnel!$K$9:$K$100)&gt;0))</f>
        <v>3</v>
      </c>
      <c r="CU45" s="363" t="n">
        <f aca="false">SUMPRODUCT((Personnel!$P$9:$P$100="PM")*(Personnel!$G$9:$G$100="Yes")*(95&gt;=Personnel!$E$9:$E$100)*((Personnel!$K$9:$K$100="")+(95&lt;=Personnel!$K$9:$K$100)&gt;0))</f>
        <v>3</v>
      </c>
      <c r="CV45" s="363" t="n">
        <f aca="false">SUMPRODUCT((Personnel!$P$9:$P$100="PM")*(Personnel!$G$9:$G$100="Yes")*(96&gt;=Personnel!$E$9:$E$100)*((Personnel!$K$9:$K$100="")+(96&lt;=Personnel!$K$9:$K$100)&gt;0))</f>
        <v>3</v>
      </c>
      <c r="CW45" s="363" t="n">
        <f aca="false">SUMPRODUCT((Personnel!$P$9:$P$100="PM")*(Personnel!$G$9:$G$100="Yes")*(97&gt;=Personnel!$E$9:$E$100)*((Personnel!$K$9:$K$100="")+(97&lt;=Personnel!$K$9:$K$100)&gt;0))</f>
        <v>3</v>
      </c>
      <c r="CX45" s="363" t="n">
        <f aca="false">SUMPRODUCT((Personnel!$P$9:$P$100="PM")*(Personnel!$G$9:$G$100="Yes")*(98&gt;=Personnel!$E$9:$E$100)*((Personnel!$K$9:$K$100="")+(98&lt;=Personnel!$K$9:$K$100)&gt;0))</f>
        <v>3</v>
      </c>
      <c r="CY45" s="363" t="n">
        <f aca="false">SUMPRODUCT((Personnel!$P$9:$P$100="PM")*(Personnel!$G$9:$G$100="Yes")*(99&gt;=Personnel!$E$9:$E$100)*((Personnel!$K$9:$K$100="")+(99&lt;=Personnel!$K$9:$K$100)&gt;0))</f>
        <v>3</v>
      </c>
      <c r="CZ45" s="363" t="n">
        <f aca="false">SUMPRODUCT((Personnel!$P$9:$P$100="PM")*(Personnel!$G$9:$G$100="Yes")*(100&gt;=Personnel!$E$9:$E$100)*((Personnel!$K$9:$K$100="")+(100&lt;=Personnel!$K$9:$K$100)&gt;0))</f>
        <v>3</v>
      </c>
      <c r="DA45" s="363" t="n">
        <f aca="false">SUMPRODUCT((Personnel!$P$9:$P$100="PM")*(Personnel!$G$9:$G$100="Yes")*(101&gt;=Personnel!$E$9:$E$100)*((Personnel!$K$9:$K$100="")+(101&lt;=Personnel!$K$9:$K$100)&gt;0))</f>
        <v>3</v>
      </c>
      <c r="DB45" s="363" t="n">
        <f aca="false">SUMPRODUCT((Personnel!$P$9:$P$100="PM")*(Personnel!$G$9:$G$100="Yes")*(102&gt;=Personnel!$E$9:$E$100)*((Personnel!$K$9:$K$100="")+(102&lt;=Personnel!$K$9:$K$100)&gt;0))</f>
        <v>3</v>
      </c>
      <c r="DC45" s="363" t="n">
        <f aca="false">SUMPRODUCT((Personnel!$P$9:$P$100="PM")*(Personnel!$G$9:$G$100="Yes")*(103&gt;=Personnel!$E$9:$E$100)*((Personnel!$K$9:$K$100="")+(103&lt;=Personnel!$K$9:$K$100)&gt;0))</f>
        <v>3</v>
      </c>
      <c r="DD45" s="363" t="n">
        <f aca="false">SUMPRODUCT((Personnel!$P$9:$P$100="PM")*(Personnel!$G$9:$G$100="Yes")*(104&gt;=Personnel!$E$9:$E$100)*((Personnel!$K$9:$K$100="")+(104&lt;=Personnel!$K$9:$K$100)&gt;0))</f>
        <v>3</v>
      </c>
      <c r="DE45" s="363" t="n">
        <f aca="false">SUMPRODUCT((Personnel!$P$9:$P$100="PM")*(Personnel!$G$9:$G$100="Yes")*(105&gt;=Personnel!$E$9:$E$100)*((Personnel!$K$9:$K$100="")+(105&lt;=Personnel!$K$9:$K$100)&gt;0))</f>
        <v>3</v>
      </c>
    </row>
    <row r="46" customFormat="false" ht="13.5" hidden="false" customHeight="true" outlineLevel="0" collapsed="false">
      <c r="A46" s="109" t="s">
        <v>1215</v>
      </c>
      <c r="E46" s="363" t="n">
        <f aca="false">SUMPRODUCT((Personnel!$P$9:$P$100="FE")*(Personnel!$G$9:$G$100="Yes")*(1&gt;=Personnel!$E$9:$E$100)*((Personnel!$K$9:$K$100="")+(1&lt;=Personnel!$K$9:$K$100)&gt;0))</f>
        <v>0</v>
      </c>
      <c r="F46" s="363" t="n">
        <f aca="false">SUMPRODUCT((Personnel!$P$9:$P$100="FE")*(Personnel!$G$9:$G$100="Yes")*(2&gt;=Personnel!$E$9:$E$100)*((Personnel!$K$9:$K$100="")+(2&lt;=Personnel!$K$9:$K$100)&gt;0))</f>
        <v>0</v>
      </c>
      <c r="G46" s="363" t="n">
        <f aca="false">SUMPRODUCT((Personnel!$P$9:$P$100="FE")*(Personnel!$G$9:$G$100="Yes")*(3&gt;=Personnel!$E$9:$E$100)*((Personnel!$K$9:$K$100="")+(3&lt;=Personnel!$K$9:$K$100)&gt;0))</f>
        <v>0</v>
      </c>
      <c r="H46" s="363" t="n">
        <f aca="false">SUMPRODUCT((Personnel!$P$9:$P$100="FE")*(Personnel!$G$9:$G$100="Yes")*(4&gt;=Personnel!$E$9:$E$100)*((Personnel!$K$9:$K$100="")+(4&lt;=Personnel!$K$9:$K$100)&gt;0))</f>
        <v>0</v>
      </c>
      <c r="I46" s="363" t="n">
        <f aca="false">SUMPRODUCT((Personnel!$P$9:$P$100="FE")*(Personnel!$G$9:$G$100="Yes")*(5&gt;=Personnel!$E$9:$E$100)*((Personnel!$K$9:$K$100="")+(5&lt;=Personnel!$K$9:$K$100)&gt;0))</f>
        <v>0</v>
      </c>
      <c r="J46" s="363" t="n">
        <f aca="false">SUMPRODUCT((Personnel!$P$9:$P$100="FE")*(Personnel!$G$9:$G$100="Yes")*(6&gt;=Personnel!$E$9:$E$100)*((Personnel!$K$9:$K$100="")+(6&lt;=Personnel!$K$9:$K$100)&gt;0))</f>
        <v>0</v>
      </c>
      <c r="K46" s="363" t="n">
        <f aca="false">SUMPRODUCT((Personnel!$P$9:$P$100="FE")*(Personnel!$G$9:$G$100="Yes")*(7&gt;=Personnel!$E$9:$E$100)*((Personnel!$K$9:$K$100="")+(7&lt;=Personnel!$K$9:$K$100)&gt;0))</f>
        <v>0</v>
      </c>
      <c r="L46" s="363" t="n">
        <f aca="false">SUMPRODUCT((Personnel!$P$9:$P$100="FE")*(Personnel!$G$9:$G$100="Yes")*(8&gt;=Personnel!$E$9:$E$100)*((Personnel!$K$9:$K$100="")+(8&lt;=Personnel!$K$9:$K$100)&gt;0))</f>
        <v>0</v>
      </c>
      <c r="M46" s="363" t="n">
        <f aca="false">SUMPRODUCT((Personnel!$P$9:$P$100="FE")*(Personnel!$G$9:$G$100="Yes")*(9&gt;=Personnel!$E$9:$E$100)*((Personnel!$K$9:$K$100="")+(9&lt;=Personnel!$K$9:$K$100)&gt;0))</f>
        <v>0</v>
      </c>
      <c r="N46" s="363" t="n">
        <f aca="false">SUMPRODUCT((Personnel!$P$9:$P$100="FE")*(Personnel!$G$9:$G$100="Yes")*(10&gt;=Personnel!$E$9:$E$100)*((Personnel!$K$9:$K$100="")+(10&lt;=Personnel!$K$9:$K$100)&gt;0))</f>
        <v>0</v>
      </c>
      <c r="O46" s="363" t="n">
        <f aca="false">SUMPRODUCT((Personnel!$P$9:$P$100="FE")*(Personnel!$G$9:$G$100="Yes")*(11&gt;=Personnel!$E$9:$E$100)*((Personnel!$K$9:$K$100="")+(11&lt;=Personnel!$K$9:$K$100)&gt;0))</f>
        <v>0</v>
      </c>
      <c r="P46" s="363" t="n">
        <f aca="false">SUMPRODUCT((Personnel!$P$9:$P$100="FE")*(Personnel!$G$9:$G$100="Yes")*(12&gt;=Personnel!$E$9:$E$100)*((Personnel!$K$9:$K$100="")+(12&lt;=Personnel!$K$9:$K$100)&gt;0))</f>
        <v>0</v>
      </c>
      <c r="Q46" s="363" t="n">
        <f aca="false">SUMPRODUCT((Personnel!$P$9:$P$100="FE")*(Personnel!$G$9:$G$100="Yes")*(13&gt;=Personnel!$E$9:$E$100)*((Personnel!$K$9:$K$100="")+(13&lt;=Personnel!$K$9:$K$100)&gt;0))</f>
        <v>0</v>
      </c>
      <c r="R46" s="363" t="n">
        <f aca="false">SUMPRODUCT((Personnel!$P$9:$P$100="FE")*(Personnel!$G$9:$G$100="Yes")*(14&gt;=Personnel!$E$9:$E$100)*((Personnel!$K$9:$K$100="")+(14&lt;=Personnel!$K$9:$K$100)&gt;0))</f>
        <v>0</v>
      </c>
      <c r="S46" s="363" t="n">
        <f aca="false">SUMPRODUCT((Personnel!$P$9:$P$100="FE")*(Personnel!$G$9:$G$100="Yes")*(15&gt;=Personnel!$E$9:$E$100)*((Personnel!$K$9:$K$100="")+(15&lt;=Personnel!$K$9:$K$100)&gt;0))</f>
        <v>0</v>
      </c>
      <c r="T46" s="363" t="n">
        <f aca="false">SUMPRODUCT((Personnel!$P$9:$P$100="FE")*(Personnel!$G$9:$G$100="Yes")*(16&gt;=Personnel!$E$9:$E$100)*((Personnel!$K$9:$K$100="")+(16&lt;=Personnel!$K$9:$K$100)&gt;0))</f>
        <v>0</v>
      </c>
      <c r="U46" s="363" t="n">
        <f aca="false">SUMPRODUCT((Personnel!$P$9:$P$100="FE")*(Personnel!$G$9:$G$100="Yes")*(17&gt;=Personnel!$E$9:$E$100)*((Personnel!$K$9:$K$100="")+(17&lt;=Personnel!$K$9:$K$100)&gt;0))</f>
        <v>0</v>
      </c>
      <c r="V46" s="363" t="n">
        <f aca="false">SUMPRODUCT((Personnel!$P$9:$P$100="FE")*(Personnel!$G$9:$G$100="Yes")*(18&gt;=Personnel!$E$9:$E$100)*((Personnel!$K$9:$K$100="")+(18&lt;=Personnel!$K$9:$K$100)&gt;0))</f>
        <v>0</v>
      </c>
      <c r="W46" s="363" t="n">
        <f aca="false">SUMPRODUCT((Personnel!$P$9:$P$100="FE")*(Personnel!$G$9:$G$100="Yes")*(19&gt;=Personnel!$E$9:$E$100)*((Personnel!$K$9:$K$100="")+(19&lt;=Personnel!$K$9:$K$100)&gt;0))</f>
        <v>0</v>
      </c>
      <c r="X46" s="363" t="n">
        <f aca="false">SUMPRODUCT((Personnel!$P$9:$P$100="FE")*(Personnel!$G$9:$G$100="Yes")*(20&gt;=Personnel!$E$9:$E$100)*((Personnel!$K$9:$K$100="")+(20&lt;=Personnel!$K$9:$K$100)&gt;0))</f>
        <v>0</v>
      </c>
      <c r="Y46" s="363" t="n">
        <f aca="false">SUMPRODUCT((Personnel!$P$9:$P$100="FE")*(Personnel!$G$9:$G$100="Yes")*(21&gt;=Personnel!$E$9:$E$100)*((Personnel!$K$9:$K$100="")+(21&lt;=Personnel!$K$9:$K$100)&gt;0))</f>
        <v>0</v>
      </c>
      <c r="Z46" s="363" t="n">
        <f aca="false">SUMPRODUCT((Personnel!$P$9:$P$100="FE")*(Personnel!$G$9:$G$100="Yes")*(22&gt;=Personnel!$E$9:$E$100)*((Personnel!$K$9:$K$100="")+(22&lt;=Personnel!$K$9:$K$100)&gt;0))</f>
        <v>0</v>
      </c>
      <c r="AA46" s="363" t="n">
        <f aca="false">SUMPRODUCT((Personnel!$P$9:$P$100="FE")*(Personnel!$G$9:$G$100="Yes")*(23&gt;=Personnel!$E$9:$E$100)*((Personnel!$K$9:$K$100="")+(23&lt;=Personnel!$K$9:$K$100)&gt;0))</f>
        <v>0</v>
      </c>
      <c r="AB46" s="363" t="n">
        <f aca="false">SUMPRODUCT((Personnel!$P$9:$P$100="FE")*(Personnel!$G$9:$G$100="Yes")*(24&gt;=Personnel!$E$9:$E$100)*((Personnel!$K$9:$K$100="")+(24&lt;=Personnel!$K$9:$K$100)&gt;0))</f>
        <v>0</v>
      </c>
      <c r="AC46" s="363" t="n">
        <f aca="false">SUMPRODUCT((Personnel!$P$9:$P$100="FE")*(Personnel!$G$9:$G$100="Yes")*(25&gt;=Personnel!$E$9:$E$100)*((Personnel!$K$9:$K$100="")+(25&lt;=Personnel!$K$9:$K$100)&gt;0))</f>
        <v>0</v>
      </c>
      <c r="AD46" s="363" t="n">
        <f aca="false">SUMPRODUCT((Personnel!$P$9:$P$100="FE")*(Personnel!$G$9:$G$100="Yes")*(26&gt;=Personnel!$E$9:$E$100)*((Personnel!$K$9:$K$100="")+(26&lt;=Personnel!$K$9:$K$100)&gt;0))</f>
        <v>0</v>
      </c>
      <c r="AE46" s="363" t="n">
        <f aca="false">SUMPRODUCT((Personnel!$P$9:$P$100="FE")*(Personnel!$G$9:$G$100="Yes")*(27&gt;=Personnel!$E$9:$E$100)*((Personnel!$K$9:$K$100="")+(27&lt;=Personnel!$K$9:$K$100)&gt;0))</f>
        <v>0</v>
      </c>
      <c r="AF46" s="363" t="n">
        <f aca="false">SUMPRODUCT((Personnel!$P$9:$P$100="FE")*(Personnel!$G$9:$G$100="Yes")*(28&gt;=Personnel!$E$9:$E$100)*((Personnel!$K$9:$K$100="")+(28&lt;=Personnel!$K$9:$K$100)&gt;0))</f>
        <v>0</v>
      </c>
      <c r="AG46" s="363" t="n">
        <f aca="false">SUMPRODUCT((Personnel!$P$9:$P$100="FE")*(Personnel!$G$9:$G$100="Yes")*(29&gt;=Personnel!$E$9:$E$100)*((Personnel!$K$9:$K$100="")+(29&lt;=Personnel!$K$9:$K$100)&gt;0))</f>
        <v>0</v>
      </c>
      <c r="AH46" s="363" t="n">
        <f aca="false">SUMPRODUCT((Personnel!$P$9:$P$100="FE")*(Personnel!$G$9:$G$100="Yes")*(30&gt;=Personnel!$E$9:$E$100)*((Personnel!$K$9:$K$100="")+(30&lt;=Personnel!$K$9:$K$100)&gt;0))</f>
        <v>0</v>
      </c>
      <c r="AI46" s="363" t="n">
        <f aca="false">SUMPRODUCT((Personnel!$P$9:$P$100="FE")*(Personnel!$G$9:$G$100="Yes")*(31&gt;=Personnel!$E$9:$E$100)*((Personnel!$K$9:$K$100="")+(31&lt;=Personnel!$K$9:$K$100)&gt;0))</f>
        <v>0</v>
      </c>
      <c r="AJ46" s="363" t="n">
        <f aca="false">SUMPRODUCT((Personnel!$P$9:$P$100="FE")*(Personnel!$G$9:$G$100="Yes")*(32&gt;=Personnel!$E$9:$E$100)*((Personnel!$K$9:$K$100="")+(32&lt;=Personnel!$K$9:$K$100)&gt;0))</f>
        <v>0</v>
      </c>
      <c r="AK46" s="363" t="n">
        <f aca="false">SUMPRODUCT((Personnel!$P$9:$P$100="FE")*(Personnel!$G$9:$G$100="Yes")*(33&gt;=Personnel!$E$9:$E$100)*((Personnel!$K$9:$K$100="")+(33&lt;=Personnel!$K$9:$K$100)&gt;0))</f>
        <v>0</v>
      </c>
      <c r="AL46" s="363" t="n">
        <f aca="false">SUMPRODUCT((Personnel!$P$9:$P$100="FE")*(Personnel!$G$9:$G$100="Yes")*(34&gt;=Personnel!$E$9:$E$100)*((Personnel!$K$9:$K$100="")+(34&lt;=Personnel!$K$9:$K$100)&gt;0))</f>
        <v>0</v>
      </c>
      <c r="AM46" s="363" t="n">
        <f aca="false">SUMPRODUCT((Personnel!$P$9:$P$100="FE")*(Personnel!$G$9:$G$100="Yes")*(35&gt;=Personnel!$E$9:$E$100)*((Personnel!$K$9:$K$100="")+(35&lt;=Personnel!$K$9:$K$100)&gt;0))</f>
        <v>0</v>
      </c>
      <c r="AN46" s="363" t="n">
        <f aca="false">SUMPRODUCT((Personnel!$P$9:$P$100="FE")*(Personnel!$G$9:$G$100="Yes")*(36&gt;=Personnel!$E$9:$E$100)*((Personnel!$K$9:$K$100="")+(36&lt;=Personnel!$K$9:$K$100)&gt;0))</f>
        <v>0</v>
      </c>
      <c r="AO46" s="363" t="n">
        <f aca="false">SUMPRODUCT((Personnel!$P$9:$P$100="FE")*(Personnel!$G$9:$G$100="Yes")*(37&gt;=Personnel!$E$9:$E$100)*((Personnel!$K$9:$K$100="")+(37&lt;=Personnel!$K$9:$K$100)&gt;0))</f>
        <v>0</v>
      </c>
      <c r="AP46" s="363" t="n">
        <f aca="false">SUMPRODUCT((Personnel!$P$9:$P$100="FE")*(Personnel!$G$9:$G$100="Yes")*(38&gt;=Personnel!$E$9:$E$100)*((Personnel!$K$9:$K$100="")+(38&lt;=Personnel!$K$9:$K$100)&gt;0))</f>
        <v>0</v>
      </c>
      <c r="AQ46" s="363" t="n">
        <f aca="false">SUMPRODUCT((Personnel!$P$9:$P$100="FE")*(Personnel!$G$9:$G$100="Yes")*(39&gt;=Personnel!$E$9:$E$100)*((Personnel!$K$9:$K$100="")+(39&lt;=Personnel!$K$9:$K$100)&gt;0))</f>
        <v>0</v>
      </c>
      <c r="AR46" s="363" t="n">
        <f aca="false">SUMPRODUCT((Personnel!$P$9:$P$100="FE")*(Personnel!$G$9:$G$100="Yes")*(40&gt;=Personnel!$E$9:$E$100)*((Personnel!$K$9:$K$100="")+(40&lt;=Personnel!$K$9:$K$100)&gt;0))</f>
        <v>0</v>
      </c>
      <c r="AS46" s="363" t="n">
        <f aca="false">SUMPRODUCT((Personnel!$P$9:$P$100="FE")*(Personnel!$G$9:$G$100="Yes")*(41&gt;=Personnel!$E$9:$E$100)*((Personnel!$K$9:$K$100="")+(41&lt;=Personnel!$K$9:$K$100)&gt;0))</f>
        <v>0</v>
      </c>
      <c r="AT46" s="363" t="n">
        <f aca="false">SUMPRODUCT((Personnel!$P$9:$P$100="FE")*(Personnel!$G$9:$G$100="Yes")*(42&gt;=Personnel!$E$9:$E$100)*((Personnel!$K$9:$K$100="")+(42&lt;=Personnel!$K$9:$K$100)&gt;0))</f>
        <v>0</v>
      </c>
      <c r="AU46" s="363" t="n">
        <f aca="false">SUMPRODUCT((Personnel!$P$9:$P$100="FE")*(Personnel!$G$9:$G$100="Yes")*(43&gt;=Personnel!$E$9:$E$100)*((Personnel!$K$9:$K$100="")+(43&lt;=Personnel!$K$9:$K$100)&gt;0))</f>
        <v>0</v>
      </c>
      <c r="AV46" s="363" t="n">
        <f aca="false">SUMPRODUCT((Personnel!$P$9:$P$100="FE")*(Personnel!$G$9:$G$100="Yes")*(44&gt;=Personnel!$E$9:$E$100)*((Personnel!$K$9:$K$100="")+(44&lt;=Personnel!$K$9:$K$100)&gt;0))</f>
        <v>0</v>
      </c>
      <c r="AW46" s="363" t="n">
        <f aca="false">SUMPRODUCT((Personnel!$P$9:$P$100="FE")*(Personnel!$G$9:$G$100="Yes")*(45&gt;=Personnel!$E$9:$E$100)*((Personnel!$K$9:$K$100="")+(45&lt;=Personnel!$K$9:$K$100)&gt;0))</f>
        <v>0</v>
      </c>
      <c r="AX46" s="363" t="n">
        <f aca="false">SUMPRODUCT((Personnel!$P$9:$P$100="FE")*(Personnel!$G$9:$G$100="Yes")*(46&gt;=Personnel!$E$9:$E$100)*((Personnel!$K$9:$K$100="")+(46&lt;=Personnel!$K$9:$K$100)&gt;0))</f>
        <v>0</v>
      </c>
      <c r="AY46" s="363" t="n">
        <f aca="false">SUMPRODUCT((Personnel!$P$9:$P$100="FE")*(Personnel!$G$9:$G$100="Yes")*(47&gt;=Personnel!$E$9:$E$100)*((Personnel!$K$9:$K$100="")+(47&lt;=Personnel!$K$9:$K$100)&gt;0))</f>
        <v>0</v>
      </c>
      <c r="AZ46" s="363" t="n">
        <f aca="false">SUMPRODUCT((Personnel!$P$9:$P$100="FE")*(Personnel!$G$9:$G$100="Yes")*(48&gt;=Personnel!$E$9:$E$100)*((Personnel!$K$9:$K$100="")+(48&lt;=Personnel!$K$9:$K$100)&gt;0))</f>
        <v>0</v>
      </c>
      <c r="BA46" s="363" t="n">
        <f aca="false">SUMPRODUCT((Personnel!$P$9:$P$100="FE")*(Personnel!$G$9:$G$100="Yes")*(49&gt;=Personnel!$E$9:$E$100)*((Personnel!$K$9:$K$100="")+(49&lt;=Personnel!$K$9:$K$100)&gt;0))</f>
        <v>0</v>
      </c>
      <c r="BB46" s="363" t="n">
        <f aca="false">SUMPRODUCT((Personnel!$P$9:$P$100="FE")*(Personnel!$G$9:$G$100="Yes")*(50&gt;=Personnel!$E$9:$E$100)*((Personnel!$K$9:$K$100="")+(50&lt;=Personnel!$K$9:$K$100)&gt;0))</f>
        <v>0</v>
      </c>
      <c r="BC46" s="363" t="n">
        <f aca="false">SUMPRODUCT((Personnel!$P$9:$P$100="FE")*(Personnel!$G$9:$G$100="Yes")*(51&gt;=Personnel!$E$9:$E$100)*((Personnel!$K$9:$K$100="")+(51&lt;=Personnel!$K$9:$K$100)&gt;0))</f>
        <v>0</v>
      </c>
      <c r="BD46" s="363" t="n">
        <f aca="false">SUMPRODUCT((Personnel!$P$9:$P$100="FE")*(Personnel!$G$9:$G$100="Yes")*(52&gt;=Personnel!$E$9:$E$100)*((Personnel!$K$9:$K$100="")+(52&lt;=Personnel!$K$9:$K$100)&gt;0))</f>
        <v>0</v>
      </c>
      <c r="BE46" s="363" t="n">
        <f aca="false">SUMPRODUCT((Personnel!$P$9:$P$100="FE")*(Personnel!$G$9:$G$100="Yes")*(53&gt;=Personnel!$E$9:$E$100)*((Personnel!$K$9:$K$100="")+(53&lt;=Personnel!$K$9:$K$100)&gt;0))</f>
        <v>0</v>
      </c>
      <c r="BF46" s="363" t="n">
        <f aca="false">SUMPRODUCT((Personnel!$P$9:$P$100="FE")*(Personnel!$G$9:$G$100="Yes")*(54&gt;=Personnel!$E$9:$E$100)*((Personnel!$K$9:$K$100="")+(54&lt;=Personnel!$K$9:$K$100)&gt;0))</f>
        <v>0</v>
      </c>
      <c r="BG46" s="363" t="n">
        <f aca="false">SUMPRODUCT((Personnel!$P$9:$P$100="FE")*(Personnel!$G$9:$G$100="Yes")*(55&gt;=Personnel!$E$9:$E$100)*((Personnel!$K$9:$K$100="")+(55&lt;=Personnel!$K$9:$K$100)&gt;0))</f>
        <v>0</v>
      </c>
      <c r="BH46" s="363" t="n">
        <f aca="false">SUMPRODUCT((Personnel!$P$9:$P$100="FE")*(Personnel!$G$9:$G$100="Yes")*(56&gt;=Personnel!$E$9:$E$100)*((Personnel!$K$9:$K$100="")+(56&lt;=Personnel!$K$9:$K$100)&gt;0))</f>
        <v>0</v>
      </c>
      <c r="BI46" s="363" t="n">
        <f aca="false">SUMPRODUCT((Personnel!$P$9:$P$100="FE")*(Personnel!$G$9:$G$100="Yes")*(57&gt;=Personnel!$E$9:$E$100)*((Personnel!$K$9:$K$100="")+(57&lt;=Personnel!$K$9:$K$100)&gt;0))</f>
        <v>0</v>
      </c>
      <c r="BJ46" s="363" t="n">
        <f aca="false">SUMPRODUCT((Personnel!$P$9:$P$100="FE")*(Personnel!$G$9:$G$100="Yes")*(58&gt;=Personnel!$E$9:$E$100)*((Personnel!$K$9:$K$100="")+(58&lt;=Personnel!$K$9:$K$100)&gt;0))</f>
        <v>0</v>
      </c>
      <c r="BK46" s="363" t="n">
        <f aca="false">SUMPRODUCT((Personnel!$P$9:$P$100="FE")*(Personnel!$G$9:$G$100="Yes")*(59&gt;=Personnel!$E$9:$E$100)*((Personnel!$K$9:$K$100="")+(59&lt;=Personnel!$K$9:$K$100)&gt;0))</f>
        <v>0</v>
      </c>
      <c r="BL46" s="363" t="n">
        <f aca="false">SUMPRODUCT((Personnel!$P$9:$P$100="FE")*(Personnel!$G$9:$G$100="Yes")*(60&gt;=Personnel!$E$9:$E$100)*((Personnel!$K$9:$K$100="")+(60&lt;=Personnel!$K$9:$K$100)&gt;0))</f>
        <v>0</v>
      </c>
      <c r="BM46" s="363" t="n">
        <f aca="false">SUMPRODUCT((Personnel!$P$9:$P$100="FE")*(Personnel!$G$9:$G$100="Yes")*(61&gt;=Personnel!$E$9:$E$100)*((Personnel!$K$9:$K$100="")+(61&lt;=Personnel!$K$9:$K$100)&gt;0))</f>
        <v>0</v>
      </c>
      <c r="BN46" s="363" t="n">
        <f aca="false">SUMPRODUCT((Personnel!$P$9:$P$100="FE")*(Personnel!$G$9:$G$100="Yes")*(62&gt;=Personnel!$E$9:$E$100)*((Personnel!$K$9:$K$100="")+(62&lt;=Personnel!$K$9:$K$100)&gt;0))</f>
        <v>0</v>
      </c>
      <c r="BO46" s="363" t="n">
        <f aca="false">SUMPRODUCT((Personnel!$P$9:$P$100="FE")*(Personnel!$G$9:$G$100="Yes")*(63&gt;=Personnel!$E$9:$E$100)*((Personnel!$K$9:$K$100="")+(63&lt;=Personnel!$K$9:$K$100)&gt;0))</f>
        <v>0</v>
      </c>
      <c r="BP46" s="363" t="n">
        <f aca="false">SUMPRODUCT((Personnel!$P$9:$P$100="FE")*(Personnel!$G$9:$G$100="Yes")*(64&gt;=Personnel!$E$9:$E$100)*((Personnel!$K$9:$K$100="")+(64&lt;=Personnel!$K$9:$K$100)&gt;0))</f>
        <v>0</v>
      </c>
      <c r="BQ46" s="363" t="n">
        <f aca="false">SUMPRODUCT((Personnel!$P$9:$P$100="FE")*(Personnel!$G$9:$G$100="Yes")*(65&gt;=Personnel!$E$9:$E$100)*((Personnel!$K$9:$K$100="")+(65&lt;=Personnel!$K$9:$K$100)&gt;0))</f>
        <v>0</v>
      </c>
      <c r="BR46" s="363" t="n">
        <f aca="false">SUMPRODUCT((Personnel!$P$9:$P$100="FE")*(Personnel!$G$9:$G$100="Yes")*(66&gt;=Personnel!$E$9:$E$100)*((Personnel!$K$9:$K$100="")+(66&lt;=Personnel!$K$9:$K$100)&gt;0))</f>
        <v>0</v>
      </c>
      <c r="BS46" s="363" t="n">
        <f aca="false">SUMPRODUCT((Personnel!$P$9:$P$100="FE")*(Personnel!$G$9:$G$100="Yes")*(67&gt;=Personnel!$E$9:$E$100)*((Personnel!$K$9:$K$100="")+(67&lt;=Personnel!$K$9:$K$100)&gt;0))</f>
        <v>0</v>
      </c>
      <c r="BT46" s="363" t="n">
        <f aca="false">SUMPRODUCT((Personnel!$P$9:$P$100="FE")*(Personnel!$G$9:$G$100="Yes")*(68&gt;=Personnel!$E$9:$E$100)*((Personnel!$K$9:$K$100="")+(68&lt;=Personnel!$K$9:$K$100)&gt;0))</f>
        <v>0</v>
      </c>
      <c r="BU46" s="363" t="n">
        <f aca="false">SUMPRODUCT((Personnel!$P$9:$P$100="FE")*(Personnel!$G$9:$G$100="Yes")*(69&gt;=Personnel!$E$9:$E$100)*((Personnel!$K$9:$K$100="")+(69&lt;=Personnel!$K$9:$K$100)&gt;0))</f>
        <v>0</v>
      </c>
      <c r="BV46" s="363" t="n">
        <f aca="false">SUMPRODUCT((Personnel!$P$9:$P$100="FE")*(Personnel!$G$9:$G$100="Yes")*(70&gt;=Personnel!$E$9:$E$100)*((Personnel!$K$9:$K$100="")+(70&lt;=Personnel!$K$9:$K$100)&gt;0))</f>
        <v>0</v>
      </c>
      <c r="BW46" s="363" t="n">
        <f aca="false">SUMPRODUCT((Personnel!$P$9:$P$100="FE")*(Personnel!$G$9:$G$100="Yes")*(71&gt;=Personnel!$E$9:$E$100)*((Personnel!$K$9:$K$100="")+(71&lt;=Personnel!$K$9:$K$100)&gt;0))</f>
        <v>0</v>
      </c>
      <c r="BX46" s="363" t="n">
        <f aca="false">SUMPRODUCT((Personnel!$P$9:$P$100="FE")*(Personnel!$G$9:$G$100="Yes")*(72&gt;=Personnel!$E$9:$E$100)*((Personnel!$K$9:$K$100="")+(72&lt;=Personnel!$K$9:$K$100)&gt;0))</f>
        <v>0</v>
      </c>
      <c r="BY46" s="363" t="n">
        <f aca="false">SUMPRODUCT((Personnel!$P$9:$P$100="FE")*(Personnel!$G$9:$G$100="Yes")*(73&gt;=Personnel!$E$9:$E$100)*((Personnel!$K$9:$K$100="")+(73&lt;=Personnel!$K$9:$K$100)&gt;0))</f>
        <v>0</v>
      </c>
      <c r="BZ46" s="363" t="n">
        <f aca="false">SUMPRODUCT((Personnel!$P$9:$P$100="FE")*(Personnel!$G$9:$G$100="Yes")*(74&gt;=Personnel!$E$9:$E$100)*((Personnel!$K$9:$K$100="")+(74&lt;=Personnel!$K$9:$K$100)&gt;0))</f>
        <v>0</v>
      </c>
      <c r="CA46" s="363" t="n">
        <f aca="false">SUMPRODUCT((Personnel!$P$9:$P$100="FE")*(Personnel!$G$9:$G$100="Yes")*(75&gt;=Personnel!$E$9:$E$100)*((Personnel!$K$9:$K$100="")+(75&lt;=Personnel!$K$9:$K$100)&gt;0))</f>
        <v>0</v>
      </c>
      <c r="CB46" s="363" t="n">
        <f aca="false">SUMPRODUCT((Personnel!$P$9:$P$100="FE")*(Personnel!$G$9:$G$100="Yes")*(76&gt;=Personnel!$E$9:$E$100)*((Personnel!$K$9:$K$100="")+(76&lt;=Personnel!$K$9:$K$100)&gt;0))</f>
        <v>0</v>
      </c>
      <c r="CC46" s="363" t="n">
        <f aca="false">SUMPRODUCT((Personnel!$P$9:$P$100="FE")*(Personnel!$G$9:$G$100="Yes")*(77&gt;=Personnel!$E$9:$E$100)*((Personnel!$K$9:$K$100="")+(77&lt;=Personnel!$K$9:$K$100)&gt;0))</f>
        <v>0</v>
      </c>
      <c r="CD46" s="363" t="n">
        <f aca="false">SUMPRODUCT((Personnel!$P$9:$P$100="FE")*(Personnel!$G$9:$G$100="Yes")*(78&gt;=Personnel!$E$9:$E$100)*((Personnel!$K$9:$K$100="")+(78&lt;=Personnel!$K$9:$K$100)&gt;0))</f>
        <v>0</v>
      </c>
      <c r="CE46" s="363" t="n">
        <f aca="false">SUMPRODUCT((Personnel!$P$9:$P$100="FE")*(Personnel!$G$9:$G$100="Yes")*(79&gt;=Personnel!$E$9:$E$100)*((Personnel!$K$9:$K$100="")+(79&lt;=Personnel!$K$9:$K$100)&gt;0))</f>
        <v>0</v>
      </c>
      <c r="CF46" s="363" t="n">
        <f aca="false">SUMPRODUCT((Personnel!$P$9:$P$100="FE")*(Personnel!$G$9:$G$100="Yes")*(80&gt;=Personnel!$E$9:$E$100)*((Personnel!$K$9:$K$100="")+(80&lt;=Personnel!$K$9:$K$100)&gt;0))</f>
        <v>0</v>
      </c>
      <c r="CG46" s="363" t="n">
        <f aca="false">SUMPRODUCT((Personnel!$P$9:$P$100="FE")*(Personnel!$G$9:$G$100="Yes")*(81&gt;=Personnel!$E$9:$E$100)*((Personnel!$K$9:$K$100="")+(81&lt;=Personnel!$K$9:$K$100)&gt;0))</f>
        <v>0</v>
      </c>
      <c r="CH46" s="363" t="n">
        <f aca="false">SUMPRODUCT((Personnel!$P$9:$P$100="FE")*(Personnel!$G$9:$G$100="Yes")*(82&gt;=Personnel!$E$9:$E$100)*((Personnel!$K$9:$K$100="")+(82&lt;=Personnel!$K$9:$K$100)&gt;0))</f>
        <v>0</v>
      </c>
      <c r="CI46" s="363" t="n">
        <f aca="false">SUMPRODUCT((Personnel!$P$9:$P$100="FE")*(Personnel!$G$9:$G$100="Yes")*(83&gt;=Personnel!$E$9:$E$100)*((Personnel!$K$9:$K$100="")+(83&lt;=Personnel!$K$9:$K$100)&gt;0))</f>
        <v>0</v>
      </c>
      <c r="CJ46" s="363" t="n">
        <f aca="false">SUMPRODUCT((Personnel!$P$9:$P$100="FE")*(Personnel!$G$9:$G$100="Yes")*(84&gt;=Personnel!$E$9:$E$100)*((Personnel!$K$9:$K$100="")+(84&lt;=Personnel!$K$9:$K$100)&gt;0))</f>
        <v>0</v>
      </c>
      <c r="CK46" s="363" t="n">
        <f aca="false">SUMPRODUCT((Personnel!$P$9:$P$100="FE")*(Personnel!$G$9:$G$100="Yes")*(85&gt;=Personnel!$E$9:$E$100)*((Personnel!$K$9:$K$100="")+(85&lt;=Personnel!$K$9:$K$100)&gt;0))</f>
        <v>0</v>
      </c>
      <c r="CL46" s="363" t="n">
        <f aca="false">SUMPRODUCT((Personnel!$P$9:$P$100="FE")*(Personnel!$G$9:$G$100="Yes")*(86&gt;=Personnel!$E$9:$E$100)*((Personnel!$K$9:$K$100="")+(86&lt;=Personnel!$K$9:$K$100)&gt;0))</f>
        <v>0</v>
      </c>
      <c r="CM46" s="363" t="n">
        <f aca="false">SUMPRODUCT((Personnel!$P$9:$P$100="FE")*(Personnel!$G$9:$G$100="Yes")*(87&gt;=Personnel!$E$9:$E$100)*((Personnel!$K$9:$K$100="")+(87&lt;=Personnel!$K$9:$K$100)&gt;0))</f>
        <v>0</v>
      </c>
      <c r="CN46" s="363" t="n">
        <f aca="false">SUMPRODUCT((Personnel!$P$9:$P$100="FE")*(Personnel!$G$9:$G$100="Yes")*(88&gt;=Personnel!$E$9:$E$100)*((Personnel!$K$9:$K$100="")+(88&lt;=Personnel!$K$9:$K$100)&gt;0))</f>
        <v>0</v>
      </c>
      <c r="CO46" s="363" t="n">
        <f aca="false">SUMPRODUCT((Personnel!$P$9:$P$100="FE")*(Personnel!$G$9:$G$100="Yes")*(89&gt;=Personnel!$E$9:$E$100)*((Personnel!$K$9:$K$100="")+(89&lt;=Personnel!$K$9:$K$100)&gt;0))</f>
        <v>0</v>
      </c>
      <c r="CP46" s="363" t="n">
        <f aca="false">SUMPRODUCT((Personnel!$P$9:$P$100="FE")*(Personnel!$G$9:$G$100="Yes")*(90&gt;=Personnel!$E$9:$E$100)*((Personnel!$K$9:$K$100="")+(90&lt;=Personnel!$K$9:$K$100)&gt;0))</f>
        <v>0</v>
      </c>
      <c r="CQ46" s="363" t="n">
        <f aca="false">SUMPRODUCT((Personnel!$P$9:$P$100="FE")*(Personnel!$G$9:$G$100="Yes")*(91&gt;=Personnel!$E$9:$E$100)*((Personnel!$K$9:$K$100="")+(91&lt;=Personnel!$K$9:$K$100)&gt;0))</f>
        <v>0</v>
      </c>
      <c r="CR46" s="363" t="n">
        <f aca="false">SUMPRODUCT((Personnel!$P$9:$P$100="FE")*(Personnel!$G$9:$G$100="Yes")*(92&gt;=Personnel!$E$9:$E$100)*((Personnel!$K$9:$K$100="")+(92&lt;=Personnel!$K$9:$K$100)&gt;0))</f>
        <v>0</v>
      </c>
      <c r="CS46" s="363" t="n">
        <f aca="false">SUMPRODUCT((Personnel!$P$9:$P$100="FE")*(Personnel!$G$9:$G$100="Yes")*(93&gt;=Personnel!$E$9:$E$100)*((Personnel!$K$9:$K$100="")+(93&lt;=Personnel!$K$9:$K$100)&gt;0))</f>
        <v>0</v>
      </c>
      <c r="CT46" s="363" t="n">
        <f aca="false">SUMPRODUCT((Personnel!$P$9:$P$100="FE")*(Personnel!$G$9:$G$100="Yes")*(94&gt;=Personnel!$E$9:$E$100)*((Personnel!$K$9:$K$100="")+(94&lt;=Personnel!$K$9:$K$100)&gt;0))</f>
        <v>0</v>
      </c>
      <c r="CU46" s="363" t="n">
        <f aca="false">SUMPRODUCT((Personnel!$P$9:$P$100="FE")*(Personnel!$G$9:$G$100="Yes")*(95&gt;=Personnel!$E$9:$E$100)*((Personnel!$K$9:$K$100="")+(95&lt;=Personnel!$K$9:$K$100)&gt;0))</f>
        <v>0</v>
      </c>
      <c r="CV46" s="363" t="n">
        <f aca="false">SUMPRODUCT((Personnel!$P$9:$P$100="FE")*(Personnel!$G$9:$G$100="Yes")*(96&gt;=Personnel!$E$9:$E$100)*((Personnel!$K$9:$K$100="")+(96&lt;=Personnel!$K$9:$K$100)&gt;0))</f>
        <v>0</v>
      </c>
      <c r="CW46" s="363" t="n">
        <f aca="false">SUMPRODUCT((Personnel!$P$9:$P$100="FE")*(Personnel!$G$9:$G$100="Yes")*(97&gt;=Personnel!$E$9:$E$100)*((Personnel!$K$9:$K$100="")+(97&lt;=Personnel!$K$9:$K$100)&gt;0))</f>
        <v>0</v>
      </c>
      <c r="CX46" s="363" t="n">
        <f aca="false">SUMPRODUCT((Personnel!$P$9:$P$100="FE")*(Personnel!$G$9:$G$100="Yes")*(98&gt;=Personnel!$E$9:$E$100)*((Personnel!$K$9:$K$100="")+(98&lt;=Personnel!$K$9:$K$100)&gt;0))</f>
        <v>0</v>
      </c>
      <c r="CY46" s="363" t="n">
        <f aca="false">SUMPRODUCT((Personnel!$P$9:$P$100="FE")*(Personnel!$G$9:$G$100="Yes")*(99&gt;=Personnel!$E$9:$E$100)*((Personnel!$K$9:$K$100="")+(99&lt;=Personnel!$K$9:$K$100)&gt;0))</f>
        <v>0</v>
      </c>
      <c r="CZ46" s="363" t="n">
        <f aca="false">SUMPRODUCT((Personnel!$P$9:$P$100="FE")*(Personnel!$G$9:$G$100="Yes")*(100&gt;=Personnel!$E$9:$E$100)*((Personnel!$K$9:$K$100="")+(100&lt;=Personnel!$K$9:$K$100)&gt;0))</f>
        <v>0</v>
      </c>
      <c r="DA46" s="363" t="n">
        <f aca="false">SUMPRODUCT((Personnel!$P$9:$P$100="FE")*(Personnel!$G$9:$G$100="Yes")*(101&gt;=Personnel!$E$9:$E$100)*((Personnel!$K$9:$K$100="")+(101&lt;=Personnel!$K$9:$K$100)&gt;0))</f>
        <v>0</v>
      </c>
      <c r="DB46" s="363" t="n">
        <f aca="false">SUMPRODUCT((Personnel!$P$9:$P$100="FE")*(Personnel!$G$9:$G$100="Yes")*(102&gt;=Personnel!$E$9:$E$100)*((Personnel!$K$9:$K$100="")+(102&lt;=Personnel!$K$9:$K$100)&gt;0))</f>
        <v>0</v>
      </c>
      <c r="DC46" s="363" t="n">
        <f aca="false">SUMPRODUCT((Personnel!$P$9:$P$100="FE")*(Personnel!$G$9:$G$100="Yes")*(103&gt;=Personnel!$E$9:$E$100)*((Personnel!$K$9:$K$100="")+(103&lt;=Personnel!$K$9:$K$100)&gt;0))</f>
        <v>0</v>
      </c>
      <c r="DD46" s="363" t="n">
        <f aca="false">SUMPRODUCT((Personnel!$P$9:$P$100="FE")*(Personnel!$G$9:$G$100="Yes")*(104&gt;=Personnel!$E$9:$E$100)*((Personnel!$K$9:$K$100="")+(104&lt;=Personnel!$K$9:$K$100)&gt;0))</f>
        <v>0</v>
      </c>
      <c r="DE46" s="363" t="n">
        <f aca="false">SUMPRODUCT((Personnel!$P$9:$P$100="FE")*(Personnel!$G$9:$G$100="Yes")*(105&gt;=Personnel!$E$9:$E$100)*((Personnel!$K$9:$K$100="")+(105&lt;=Personnel!$K$9:$K$100)&gt;0))</f>
        <v>0</v>
      </c>
    </row>
    <row r="48" customFormat="false" ht="13.5" hidden="false" customHeight="true" outlineLevel="0" collapsed="false">
      <c r="A48" s="221" t="s">
        <v>1216</v>
      </c>
      <c r="B48" s="222"/>
      <c r="C48" s="222"/>
      <c r="D48" s="222"/>
      <c r="E48" s="222"/>
      <c r="F48" s="222"/>
    </row>
    <row r="49" customFormat="false" ht="13.5" hidden="false" customHeight="true" outlineLevel="0" collapsed="false">
      <c r="A49" s="109" t="s">
        <v>1217</v>
      </c>
      <c r="B49" s="223" t="n">
        <f aca="false">$B$26</f>
        <v>160000</v>
      </c>
      <c r="E49" s="364" t="n">
        <f aca="false">IF(1&lt;5,0,IF(MAX(E38)&gt;E43+0+$B$18,1,0))</f>
        <v>0</v>
      </c>
      <c r="F49" s="364" t="n">
        <f aca="false">IF(2&lt;5,0,IF(MAX(E38:F38)&gt;F43+0+$B$18,1,0))</f>
        <v>0</v>
      </c>
      <c r="G49" s="364" t="n">
        <f aca="false">IF(3&lt;5,0,IF(MAX(E38:G38)&gt;G43+0+$B$18,1,0))</f>
        <v>0</v>
      </c>
      <c r="H49" s="364" t="n">
        <f aca="false">IF(4&lt;5,0,IF(MAX(E38:H38)&gt;H43+0+$B$18,1,0))</f>
        <v>0</v>
      </c>
      <c r="I49" s="364" t="n">
        <f aca="false">IF(5&lt;5,0,IF(MAX(E38:I38)&gt;I43+0+$B$18,1,0))</f>
        <v>0</v>
      </c>
      <c r="J49" s="364" t="n">
        <f aca="false">IF(6&lt;5,0,IF(MAX(E38:J38)&gt;J43+0+$B$18,1,0))</f>
        <v>0</v>
      </c>
      <c r="K49" s="364" t="n">
        <f aca="false">IF(7&lt;5,0,IF(MAX(F38:K38)&gt;K43+0+$B$18,1,0))</f>
        <v>0</v>
      </c>
      <c r="L49" s="364" t="n">
        <f aca="false">IF(8&lt;5,0,IF(MAX(G38:L38)&gt;L43+0+$B$18,1,0))</f>
        <v>0</v>
      </c>
      <c r="M49" s="364" t="n">
        <f aca="false">IF(9&lt;5,0,IF(MAX(H38:M38)&gt;M43+0+$B$18,1,0))</f>
        <v>1</v>
      </c>
      <c r="N49" s="364" t="n">
        <f aca="false">IF(10&lt;5,0,IF(MAX(I38:N38)&gt;N43+0+$B$18,1,0))</f>
        <v>1</v>
      </c>
      <c r="O49" s="364" t="n">
        <f aca="false">IF(11&lt;5,0,IF(MAX(J38:O38)&gt;O43+0+$B$18,1,0))</f>
        <v>1</v>
      </c>
      <c r="P49" s="364" t="n">
        <f aca="false">IF(12&lt;5,0,IF(MAX(K38:P38)&gt;P43+0+$B$18,1,0))</f>
        <v>1</v>
      </c>
      <c r="Q49" s="364" t="n">
        <f aca="false">IF(13&lt;5,0,IF(MAX(L38:Q38)&gt;Q43+0+$B$18,1,0))</f>
        <v>1</v>
      </c>
      <c r="R49" s="364" t="n">
        <f aca="false">IF(14&lt;5,0,IF(MAX(M38:R38)&gt;R43+0+$B$18,1,0))</f>
        <v>1</v>
      </c>
      <c r="S49" s="364" t="n">
        <f aca="false">IF(15&lt;5,0,IF(MAX(N38:S38)&gt;S43+0+$B$18,1,0))</f>
        <v>1</v>
      </c>
      <c r="T49" s="364" t="n">
        <f aca="false">IF(16&lt;5,0,IF(MAX(O38:T38)&gt;T43+0+$B$18,1,0))</f>
        <v>1</v>
      </c>
      <c r="U49" s="364" t="n">
        <f aca="false">IF(17&lt;5,0,IF(MAX(P38:U38)&gt;U43+0+$B$18,1,0))</f>
        <v>1</v>
      </c>
      <c r="V49" s="364" t="n">
        <f aca="false">IF(18&lt;5,0,IF(MAX(Q38:V38)&gt;V43+0+$B$18,1,0))</f>
        <v>1</v>
      </c>
      <c r="W49" s="364" t="n">
        <f aca="false">IF(19&lt;5,0,IF(MAX(R38:W38)&gt;W43+0+$B$18,1,0))</f>
        <v>1</v>
      </c>
      <c r="X49" s="364" t="n">
        <f aca="false">IF(20&lt;5,0,IF(MAX(S38:X38)&gt;X43+0+$B$18,1,0))</f>
        <v>1</v>
      </c>
      <c r="Y49" s="364" t="n">
        <f aca="false">IF(21&lt;5,0,IF(MAX(T38:Y38)&gt;Y43+0+$B$18,1,0))</f>
        <v>1</v>
      </c>
      <c r="Z49" s="364" t="n">
        <f aca="false">IF(22&lt;5,0,IF(MAX(U38:Z38)&gt;Z43+0+$B$18,1,0))</f>
        <v>1</v>
      </c>
      <c r="AA49" s="364" t="n">
        <f aca="false">IF(23&lt;5,0,IF(MAX(V38:AA38)&gt;AA43+0+$B$18,1,0))</f>
        <v>1</v>
      </c>
      <c r="AB49" s="364" t="n">
        <f aca="false">IF(24&lt;5,0,IF(MAX(W38:AB38)&gt;AB43+0+$B$18,1,0))</f>
        <v>1</v>
      </c>
      <c r="AC49" s="364" t="n">
        <f aca="false">IF(25&lt;5,0,IF(MAX(X38:AC38)&gt;AC43+0+$B$18,1,0))</f>
        <v>1</v>
      </c>
      <c r="AD49" s="364" t="n">
        <f aca="false">IF(26&lt;5,0,IF(MAX(Y38:AD38)&gt;AD43+0+$B$18,1,0))</f>
        <v>0</v>
      </c>
      <c r="AE49" s="364" t="n">
        <f aca="false">IF(27&lt;5,0,IF(MAX(Z38:AE38)&gt;AE43+0+$B$18,1,0))</f>
        <v>0</v>
      </c>
      <c r="AF49" s="364" t="n">
        <f aca="false">IF(28&lt;5,0,IF(MAX(AA38:AF38)&gt;AF43+0+$B$18,1,0))</f>
        <v>0</v>
      </c>
      <c r="AG49" s="364" t="n">
        <f aca="false">IF(29&lt;5,0,IF(MAX(AB38:AG38)&gt;AG43+0+$B$18,1,0))</f>
        <v>0</v>
      </c>
      <c r="AH49" s="364" t="n">
        <f aca="false">IF(30&lt;5,0,IF(MAX(AC38:AH38)&gt;AH43+0+$B$18,1,0))</f>
        <v>0</v>
      </c>
      <c r="AI49" s="364" t="n">
        <f aca="false">IF(31&lt;5,0,IF(MAX(AD38:AI38)&gt;AI43+0+$B$18,1,0))</f>
        <v>0</v>
      </c>
      <c r="AJ49" s="364" t="n">
        <f aca="false">IF(32&lt;5,0,IF(MAX(AE38:AJ38)&gt;AJ43+0+$B$18,1,0))</f>
        <v>0</v>
      </c>
      <c r="AK49" s="364" t="n">
        <f aca="false">IF(33&lt;5,0,IF(MAX(AF38:AK38)&gt;AK43+0+$B$18,1,0))</f>
        <v>0</v>
      </c>
      <c r="AL49" s="364" t="n">
        <f aca="false">IF(34&lt;5,0,IF(MAX(AG38:AL38)&gt;AL43+0+$B$18,1,0))</f>
        <v>0</v>
      </c>
      <c r="AM49" s="364" t="n">
        <f aca="false">IF(35&lt;5,0,IF(MAX(AH38:AM38)&gt;AM43+0+$B$18,1,0))</f>
        <v>0</v>
      </c>
      <c r="AN49" s="364" t="n">
        <f aca="false">IF(36&lt;5,0,IF(MAX(AI38:AN38)&gt;AN43+0+$B$18,1,0))</f>
        <v>0</v>
      </c>
      <c r="AO49" s="364" t="n">
        <f aca="false">IF(37&lt;5,0,IF(MAX(AJ38:AO38)&gt;AO43+0+$B$18,1,0))</f>
        <v>0</v>
      </c>
      <c r="AP49" s="364" t="n">
        <f aca="false">IF(38&lt;5,0,IF(MAX(AK38:AP38)&gt;AP43+0+$B$18,1,0))</f>
        <v>0</v>
      </c>
      <c r="AQ49" s="364" t="n">
        <f aca="false">IF(39&lt;5,0,IF(MAX(AL38:AQ38)&gt;AQ43+0+$B$18,1,0))</f>
        <v>0</v>
      </c>
      <c r="AR49" s="364" t="n">
        <f aca="false">IF(40&lt;5,0,IF(MAX(AM38:AR38)&gt;AR43+0+$B$18,1,0))</f>
        <v>0</v>
      </c>
      <c r="AS49" s="364" t="n">
        <f aca="false">IF(41&lt;5,0,IF(MAX(AN38:AS38)&gt;AS43+0+$B$18,1,0))</f>
        <v>0</v>
      </c>
      <c r="AT49" s="364" t="n">
        <f aca="false">IF(42&lt;5,0,IF(MAX(AO38:AT38)&gt;AT43+0+$B$18,1,0))</f>
        <v>0</v>
      </c>
      <c r="AU49" s="364" t="n">
        <f aca="false">IF(43&lt;5,0,IF(MAX(AP38:AU38)&gt;AU43+0+$B$18,1,0))</f>
        <v>0</v>
      </c>
      <c r="AV49" s="364" t="n">
        <f aca="false">IF(44&lt;5,0,IF(MAX(AQ38:AV38)&gt;AV43+0+$B$18,1,0))</f>
        <v>0</v>
      </c>
      <c r="AW49" s="364" t="n">
        <f aca="false">IF(45&lt;5,0,IF(MAX(AR38:AW38)&gt;AW43+0+$B$18,1,0))</f>
        <v>0</v>
      </c>
      <c r="AX49" s="364" t="n">
        <f aca="false">IF(46&lt;5,0,IF(MAX(AS38:AX38)&gt;AX43+0+$B$18,1,0))</f>
        <v>0</v>
      </c>
      <c r="AY49" s="364" t="n">
        <f aca="false">IF(47&lt;5,0,IF(MAX(AT38:AY38)&gt;AY43+0+$B$18,1,0))</f>
        <v>0</v>
      </c>
      <c r="AZ49" s="364" t="n">
        <f aca="false">IF(48&lt;5,0,IF(MAX(AU38:AZ38)&gt;AZ43+0+$B$18,1,0))</f>
        <v>0</v>
      </c>
      <c r="BA49" s="364" t="n">
        <f aca="false">IF(49&lt;5,0,IF(MAX(AV38:BA38)&gt;BA43+0+$B$18,1,0))</f>
        <v>0</v>
      </c>
      <c r="BB49" s="364" t="n">
        <f aca="false">IF(50&lt;5,0,IF(MAX(AW38:BB38)&gt;BB43+0+$B$18,1,0))</f>
        <v>0</v>
      </c>
      <c r="BC49" s="364" t="n">
        <f aca="false">IF(51&lt;5,0,IF(MAX(AX38:BC38)&gt;BC43+0+$B$18,1,0))</f>
        <v>0</v>
      </c>
      <c r="BD49" s="364" t="n">
        <f aca="false">IF(52&lt;5,0,IF(MAX(AY38:BD38)&gt;BD43+0+$B$18,1,0))</f>
        <v>0</v>
      </c>
      <c r="BE49" s="364" t="n">
        <f aca="false">IF(53&lt;5,0,IF(MAX(AZ38:BE38)&gt;BE43+0+$B$18,1,0))</f>
        <v>0</v>
      </c>
      <c r="BF49" s="364" t="n">
        <f aca="false">IF(54&lt;5,0,IF(MAX(BA38:BF38)&gt;BF43+0+$B$18,1,0))</f>
        <v>0</v>
      </c>
      <c r="BG49" s="364" t="n">
        <f aca="false">IF(55&lt;5,0,IF(MAX(BB38:BG38)&gt;BG43+0+$B$18,1,0))</f>
        <v>0</v>
      </c>
      <c r="BH49" s="364" t="n">
        <f aca="false">IF(56&lt;5,0,IF(MAX(BC38:BH38)&gt;BH43+0+$B$18,1,0))</f>
        <v>0</v>
      </c>
      <c r="BI49" s="364" t="n">
        <f aca="false">IF(57&lt;5,0,IF(MAX(BD38:BI38)&gt;BI43+0+$B$18,1,0))</f>
        <v>0</v>
      </c>
      <c r="BJ49" s="364" t="n">
        <f aca="false">IF(58&lt;5,0,IF(MAX(BE38:BJ38)&gt;BJ43+0+$B$18,1,0))</f>
        <v>0</v>
      </c>
      <c r="BK49" s="364" t="n">
        <f aca="false">IF(59&lt;5,0,IF(MAX(BF38:BK38)&gt;BK43+0+$B$18,1,0))</f>
        <v>0</v>
      </c>
      <c r="BL49" s="364" t="n">
        <f aca="false">IF(60&lt;5,0,IF(MAX(BG38:BL38)&gt;BL43+0+$B$18,1,0))</f>
        <v>0</v>
      </c>
      <c r="BM49" s="364" t="n">
        <f aca="false">IF(61&lt;5,0,IF(MAX(BH38:BM38)&gt;BM43+0+$B$18,1,0))</f>
        <v>0</v>
      </c>
      <c r="BN49" s="364" t="n">
        <f aca="false">IF(62&lt;5,0,IF(MAX(BI38:BN38)&gt;BN43+0+$B$18,1,0))</f>
        <v>0</v>
      </c>
      <c r="BO49" s="364" t="n">
        <f aca="false">IF(63&lt;5,0,IF(MAX(BJ38:BO38)&gt;BO43+0+$B$18,1,0))</f>
        <v>0</v>
      </c>
      <c r="BP49" s="364" t="n">
        <f aca="false">IF(64&lt;5,0,IF(MAX(BK38:BP38)&gt;BP43+0+$B$18,1,0))</f>
        <v>0</v>
      </c>
      <c r="BQ49" s="364" t="n">
        <f aca="false">IF(65&lt;5,0,IF(MAX(BL38:BQ38)&gt;BQ43+0+$B$18,1,0))</f>
        <v>0</v>
      </c>
      <c r="BR49" s="364" t="n">
        <f aca="false">IF(66&lt;5,0,IF(MAX(BM38:BR38)&gt;BR43+0+$B$18,1,0))</f>
        <v>0</v>
      </c>
      <c r="BS49" s="364" t="n">
        <f aca="false">IF(67&lt;5,0,IF(MAX(BN38:BS38)&gt;BS43+0+$B$18,1,0))</f>
        <v>0</v>
      </c>
      <c r="BT49" s="364" t="n">
        <f aca="false">IF(68&lt;5,0,IF(MAX(BO38:BT38)&gt;BT43+0+$B$18,1,0))</f>
        <v>0</v>
      </c>
      <c r="BU49" s="364" t="n">
        <f aca="false">IF(69&lt;5,0,IF(MAX(BP38:BU38)&gt;BU43+0+$B$18,1,0))</f>
        <v>0</v>
      </c>
      <c r="BV49" s="364" t="n">
        <f aca="false">IF(70&lt;5,0,IF(MAX(BQ38:BV38)&gt;BV43+0+$B$18,1,0))</f>
        <v>0</v>
      </c>
      <c r="BW49" s="364" t="n">
        <f aca="false">IF(71&lt;5,0,IF(MAX(BR38:BW38)&gt;BW43+0+$B$18,1,0))</f>
        <v>0</v>
      </c>
      <c r="BX49" s="364" t="n">
        <f aca="false">IF(72&lt;5,0,IF(MAX(BS38:BX38)&gt;BX43+0+$B$18,1,0))</f>
        <v>0</v>
      </c>
      <c r="BY49" s="364" t="n">
        <f aca="false">IF(73&lt;5,0,IF(MAX(BT38:BY38)&gt;BY43+0+$B$18,1,0))</f>
        <v>0</v>
      </c>
      <c r="BZ49" s="364" t="n">
        <f aca="false">IF(74&lt;5,0,IF(MAX(BU38:BZ38)&gt;BZ43+0+$B$18,1,0))</f>
        <v>0</v>
      </c>
      <c r="CA49" s="364" t="n">
        <f aca="false">IF(75&lt;5,0,IF(MAX(BV38:CA38)&gt;CA43+0+$B$18,1,0))</f>
        <v>0</v>
      </c>
      <c r="CB49" s="364" t="n">
        <f aca="false">IF(76&lt;5,0,IF(MAX(BW38:CB38)&gt;CB43+0+$B$18,1,0))</f>
        <v>0</v>
      </c>
      <c r="CC49" s="364" t="n">
        <f aca="false">IF(77&lt;5,0,IF(MAX(BX38:CC38)&gt;CC43+0+$B$18,1,0))</f>
        <v>0</v>
      </c>
      <c r="CD49" s="364" t="n">
        <f aca="false">IF(78&lt;5,0,IF(MAX(BY38:CD38)&gt;CD43+0+$B$18,1,0))</f>
        <v>0</v>
      </c>
      <c r="CE49" s="364" t="n">
        <f aca="false">IF(79&lt;5,0,IF(MAX(BZ38:CE38)&gt;CE43+0+$B$18,1,0))</f>
        <v>0</v>
      </c>
      <c r="CF49" s="364" t="n">
        <f aca="false">IF(80&lt;5,0,IF(MAX(CA38:CF38)&gt;CF43+0+$B$18,1,0))</f>
        <v>0</v>
      </c>
      <c r="CG49" s="364" t="n">
        <f aca="false">IF(81&lt;5,0,IF(MAX(CB38:CG38)&gt;CG43+0+$B$18,1,0))</f>
        <v>0</v>
      </c>
      <c r="CH49" s="364" t="n">
        <f aca="false">IF(82&lt;5,0,IF(MAX(CC38:CH38)&gt;CH43+0+$B$18,1,0))</f>
        <v>0</v>
      </c>
      <c r="CI49" s="364" t="n">
        <f aca="false">IF(83&lt;5,0,IF(MAX(CD38:CI38)&gt;CI43+0+$B$18,1,0))</f>
        <v>0</v>
      </c>
      <c r="CJ49" s="364" t="n">
        <f aca="false">IF(84&lt;5,0,IF(MAX(CE38:CJ38)&gt;CJ43+0+$B$18,1,0))</f>
        <v>0</v>
      </c>
      <c r="CK49" s="364" t="n">
        <f aca="false">IF(85&lt;5,0,IF(MAX(CF38:CK38)&gt;CK43+0+$B$18,1,0))</f>
        <v>0</v>
      </c>
      <c r="CL49" s="364" t="n">
        <f aca="false">IF(86&lt;5,0,IF(MAX(CG38:CL38)&gt;CL43+0+$B$18,1,0))</f>
        <v>0</v>
      </c>
      <c r="CM49" s="364" t="n">
        <f aca="false">IF(87&lt;5,0,IF(MAX(CH38:CM38)&gt;CM43+0+$B$18,1,0))</f>
        <v>0</v>
      </c>
      <c r="CN49" s="364" t="n">
        <f aca="false">IF(88&lt;5,0,IF(MAX(CI38:CN38)&gt;CN43+0+$B$18,1,0))</f>
        <v>0</v>
      </c>
      <c r="CO49" s="364" t="n">
        <f aca="false">IF(89&lt;5,0,IF(MAX(CJ38:CO38)&gt;CO43+0+$B$18,1,0))</f>
        <v>0</v>
      </c>
      <c r="CP49" s="364" t="n">
        <f aca="false">IF(90&lt;5,0,IF(MAX(CK38:CP38)&gt;CP43+0+$B$18,1,0))</f>
        <v>0</v>
      </c>
      <c r="CQ49" s="364" t="n">
        <f aca="false">IF(91&lt;5,0,IF(MAX(CL38:CQ38)&gt;CQ43+0+$B$18,1,0))</f>
        <v>0</v>
      </c>
      <c r="CR49" s="364" t="n">
        <f aca="false">IF(92&lt;5,0,IF(MAX(CM38:CR38)&gt;CR43+0+$B$18,1,0))</f>
        <v>0</v>
      </c>
      <c r="CS49" s="364" t="n">
        <f aca="false">IF(93&lt;5,0,IF(MAX(CN38:CS38)&gt;CS43+0+$B$18,1,0))</f>
        <v>0</v>
      </c>
      <c r="CT49" s="364" t="n">
        <f aca="false">IF(94&lt;5,0,IF(MAX(CO38:CT38)&gt;CT43+0+$B$18,1,0))</f>
        <v>0</v>
      </c>
      <c r="CU49" s="364" t="n">
        <f aca="false">IF(95&lt;5,0,IF(MAX(CP38:CU38)&gt;CU43+0+$B$18,1,0))</f>
        <v>0</v>
      </c>
      <c r="CV49" s="364" t="n">
        <f aca="false">IF(96&lt;5,0,IF(MAX(CQ38:CV38)&gt;CV43+0+$B$18,1,0))</f>
        <v>0</v>
      </c>
      <c r="CW49" s="364" t="n">
        <f aca="false">IF(97&lt;5,0,IF(MAX(CR38:CW38)&gt;CW43+0+$B$18,1,0))</f>
        <v>0</v>
      </c>
      <c r="CX49" s="364" t="n">
        <f aca="false">IF(98&lt;5,0,IF(MAX(CS38:CX38)&gt;CX43+0+$B$18,1,0))</f>
        <v>0</v>
      </c>
      <c r="CY49" s="364" t="n">
        <f aca="false">IF(99&lt;5,0,IF(MAX(CT38:CY38)&gt;CY43+0+$B$18,1,0))</f>
        <v>0</v>
      </c>
      <c r="CZ49" s="364" t="n">
        <f aca="false">IF(100&lt;5,0,IF(MAX(CU38:CZ38)&gt;CZ43+0+$B$18,1,0))</f>
        <v>0</v>
      </c>
      <c r="DA49" s="364" t="n">
        <f aca="false">IF(101&lt;5,0,IF(MAX(CV38:DA38)&gt;DA43+0+$B$18,1,0))</f>
        <v>0</v>
      </c>
      <c r="DB49" s="364" t="n">
        <f aca="false">IF(102&lt;5,0,IF(MAX(CW38:DB38)&gt;DB43+0+$B$18,1,0))</f>
        <v>0</v>
      </c>
      <c r="DC49" s="364" t="n">
        <f aca="false">IF(103&lt;5,0,IF(MAX(CX38:DC38)&gt;DC43+0+$B$18,1,0))</f>
        <v>0</v>
      </c>
      <c r="DD49" s="364" t="n">
        <f aca="false">IF(104&lt;5,0,IF(MAX(CY38:DD38)&gt;DD43+0+$B$18,1,0))</f>
        <v>0</v>
      </c>
      <c r="DE49" s="364" t="n">
        <f aca="false">IF(105&lt;5,0,IF(MAX(CZ38:DE38)&gt;DE43+0+$B$18,1,0))</f>
        <v>0</v>
      </c>
    </row>
    <row r="50" customFormat="false" ht="13.5" hidden="false" customHeight="true" outlineLevel="0" collapsed="false">
      <c r="A50" s="109" t="s">
        <v>1218</v>
      </c>
      <c r="B50" s="223" t="n">
        <f aca="false">$B$26</f>
        <v>160000</v>
      </c>
      <c r="E50" s="364" t="n">
        <f aca="false">IF(1&lt;5,0,IF(MAX(E38)&gt;E43+1+$B$18,1,0))</f>
        <v>0</v>
      </c>
      <c r="F50" s="364" t="n">
        <f aca="false">IF(2&lt;5,0,IF(MAX(E38:F38)&gt;F43+1+$B$18,1,0))</f>
        <v>0</v>
      </c>
      <c r="G50" s="364" t="n">
        <f aca="false">IF(3&lt;5,0,IF(MAX(E38:G38)&gt;G43+1+$B$18,1,0))</f>
        <v>0</v>
      </c>
      <c r="H50" s="364" t="n">
        <f aca="false">IF(4&lt;5,0,IF(MAX(E38:H38)&gt;H43+1+$B$18,1,0))</f>
        <v>0</v>
      </c>
      <c r="I50" s="364" t="n">
        <f aca="false">IF(5&lt;5,0,IF(MAX(E38:I38)&gt;I43+1+$B$18,1,0))</f>
        <v>0</v>
      </c>
      <c r="J50" s="364" t="n">
        <f aca="false">IF(6&lt;5,0,IF(MAX(E38:J38)&gt;J43+1+$B$18,1,0))</f>
        <v>0</v>
      </c>
      <c r="K50" s="364" t="n">
        <f aca="false">IF(7&lt;5,0,IF(MAX(F38:K38)&gt;K43+1+$B$18,1,0))</f>
        <v>0</v>
      </c>
      <c r="L50" s="364" t="n">
        <f aca="false">IF(8&lt;5,0,IF(MAX(G38:L38)&gt;L43+1+$B$18,1,0))</f>
        <v>0</v>
      </c>
      <c r="M50" s="364" t="n">
        <f aca="false">IF(9&lt;5,0,IF(MAX(H38:M38)&gt;M43+1+$B$18,1,0))</f>
        <v>0</v>
      </c>
      <c r="N50" s="364" t="n">
        <f aca="false">IF(10&lt;5,0,IF(MAX(I38:N38)&gt;N43+1+$B$18,1,0))</f>
        <v>0</v>
      </c>
      <c r="O50" s="364" t="n">
        <f aca="false">IF(11&lt;5,0,IF(MAX(J38:O38)&gt;O43+1+$B$18,1,0))</f>
        <v>0</v>
      </c>
      <c r="P50" s="364" t="n">
        <f aca="false">IF(12&lt;5,0,IF(MAX(K38:P38)&gt;P43+1+$B$18,1,0))</f>
        <v>0</v>
      </c>
      <c r="Q50" s="364" t="n">
        <f aca="false">IF(13&lt;5,0,IF(MAX(L38:Q38)&gt;Q43+1+$B$18,1,0))</f>
        <v>0</v>
      </c>
      <c r="R50" s="364" t="n">
        <f aca="false">IF(14&lt;5,0,IF(MAX(M38:R38)&gt;R43+1+$B$18,1,0))</f>
        <v>0</v>
      </c>
      <c r="S50" s="364" t="n">
        <f aca="false">IF(15&lt;5,0,IF(MAX(N38:S38)&gt;S43+1+$B$18,1,0))</f>
        <v>1</v>
      </c>
      <c r="T50" s="364" t="n">
        <f aca="false">IF(16&lt;5,0,IF(MAX(O38:T38)&gt;T43+1+$B$18,1,0))</f>
        <v>1</v>
      </c>
      <c r="U50" s="364" t="n">
        <f aca="false">IF(17&lt;5,0,IF(MAX(P38:U38)&gt;U43+1+$B$18,1,0))</f>
        <v>1</v>
      </c>
      <c r="V50" s="364" t="n">
        <f aca="false">IF(18&lt;5,0,IF(MAX(Q38:V38)&gt;V43+1+$B$18,1,0))</f>
        <v>1</v>
      </c>
      <c r="W50" s="364" t="n">
        <f aca="false">IF(19&lt;5,0,IF(MAX(R38:W38)&gt;W43+1+$B$18,1,0))</f>
        <v>1</v>
      </c>
      <c r="X50" s="364" t="n">
        <f aca="false">IF(20&lt;5,0,IF(MAX(S38:X38)&gt;X43+1+$B$18,1,0))</f>
        <v>1</v>
      </c>
      <c r="Y50" s="364" t="n">
        <f aca="false">IF(21&lt;5,0,IF(MAX(T38:Y38)&gt;Y43+1+$B$18,1,0))</f>
        <v>1</v>
      </c>
      <c r="Z50" s="364" t="n">
        <f aca="false">IF(22&lt;5,0,IF(MAX(U38:Z38)&gt;Z43+1+$B$18,1,0))</f>
        <v>1</v>
      </c>
      <c r="AA50" s="364" t="n">
        <f aca="false">IF(23&lt;5,0,IF(MAX(V38:AA38)&gt;AA43+1+$B$18,1,0))</f>
        <v>1</v>
      </c>
      <c r="AB50" s="364" t="n">
        <f aca="false">IF(24&lt;5,0,IF(MAX(W38:AB38)&gt;AB43+1+$B$18,1,0))</f>
        <v>0</v>
      </c>
      <c r="AC50" s="364" t="n">
        <f aca="false">IF(25&lt;5,0,IF(MAX(X38:AC38)&gt;AC43+1+$B$18,1,0))</f>
        <v>0</v>
      </c>
      <c r="AD50" s="364" t="n">
        <f aca="false">IF(26&lt;5,0,IF(MAX(Y38:AD38)&gt;AD43+1+$B$18,1,0))</f>
        <v>0</v>
      </c>
      <c r="AE50" s="364" t="n">
        <f aca="false">IF(27&lt;5,0,IF(MAX(Z38:AE38)&gt;AE43+1+$B$18,1,0))</f>
        <v>0</v>
      </c>
      <c r="AF50" s="364" t="n">
        <f aca="false">IF(28&lt;5,0,IF(MAX(AA38:AF38)&gt;AF43+1+$B$18,1,0))</f>
        <v>0</v>
      </c>
      <c r="AG50" s="364" t="n">
        <f aca="false">IF(29&lt;5,0,IF(MAX(AB38:AG38)&gt;AG43+1+$B$18,1,0))</f>
        <v>0</v>
      </c>
      <c r="AH50" s="364" t="n">
        <f aca="false">IF(30&lt;5,0,IF(MAX(AC38:AH38)&gt;AH43+1+$B$18,1,0))</f>
        <v>0</v>
      </c>
      <c r="AI50" s="364" t="n">
        <f aca="false">IF(31&lt;5,0,IF(MAX(AD38:AI38)&gt;AI43+1+$B$18,1,0))</f>
        <v>0</v>
      </c>
      <c r="AJ50" s="364" t="n">
        <f aca="false">IF(32&lt;5,0,IF(MAX(AE38:AJ38)&gt;AJ43+1+$B$18,1,0))</f>
        <v>0</v>
      </c>
      <c r="AK50" s="364" t="n">
        <f aca="false">IF(33&lt;5,0,IF(MAX(AF38:AK38)&gt;AK43+1+$B$18,1,0))</f>
        <v>0</v>
      </c>
      <c r="AL50" s="364" t="n">
        <f aca="false">IF(34&lt;5,0,IF(MAX(AG38:AL38)&gt;AL43+1+$B$18,1,0))</f>
        <v>0</v>
      </c>
      <c r="AM50" s="364" t="n">
        <f aca="false">IF(35&lt;5,0,IF(MAX(AH38:AM38)&gt;AM43+1+$B$18,1,0))</f>
        <v>0</v>
      </c>
      <c r="AN50" s="364" t="n">
        <f aca="false">IF(36&lt;5,0,IF(MAX(AI38:AN38)&gt;AN43+1+$B$18,1,0))</f>
        <v>0</v>
      </c>
      <c r="AO50" s="364" t="n">
        <f aca="false">IF(37&lt;5,0,IF(MAX(AJ38:AO38)&gt;AO43+1+$B$18,1,0))</f>
        <v>0</v>
      </c>
      <c r="AP50" s="364" t="n">
        <f aca="false">IF(38&lt;5,0,IF(MAX(AK38:AP38)&gt;AP43+1+$B$18,1,0))</f>
        <v>0</v>
      </c>
      <c r="AQ50" s="364" t="n">
        <f aca="false">IF(39&lt;5,0,IF(MAX(AL38:AQ38)&gt;AQ43+1+$B$18,1,0))</f>
        <v>0</v>
      </c>
      <c r="AR50" s="364" t="n">
        <f aca="false">IF(40&lt;5,0,IF(MAX(AM38:AR38)&gt;AR43+1+$B$18,1,0))</f>
        <v>0</v>
      </c>
      <c r="AS50" s="364" t="n">
        <f aca="false">IF(41&lt;5,0,IF(MAX(AN38:AS38)&gt;AS43+1+$B$18,1,0))</f>
        <v>0</v>
      </c>
      <c r="AT50" s="364" t="n">
        <f aca="false">IF(42&lt;5,0,IF(MAX(AO38:AT38)&gt;AT43+1+$B$18,1,0))</f>
        <v>0</v>
      </c>
      <c r="AU50" s="364" t="n">
        <f aca="false">IF(43&lt;5,0,IF(MAX(AP38:AU38)&gt;AU43+1+$B$18,1,0))</f>
        <v>0</v>
      </c>
      <c r="AV50" s="364" t="n">
        <f aca="false">IF(44&lt;5,0,IF(MAX(AQ38:AV38)&gt;AV43+1+$B$18,1,0))</f>
        <v>0</v>
      </c>
      <c r="AW50" s="364" t="n">
        <f aca="false">IF(45&lt;5,0,IF(MAX(AR38:AW38)&gt;AW43+1+$B$18,1,0))</f>
        <v>0</v>
      </c>
      <c r="AX50" s="364" t="n">
        <f aca="false">IF(46&lt;5,0,IF(MAX(AS38:AX38)&gt;AX43+1+$B$18,1,0))</f>
        <v>0</v>
      </c>
      <c r="AY50" s="364" t="n">
        <f aca="false">IF(47&lt;5,0,IF(MAX(AT38:AY38)&gt;AY43+1+$B$18,1,0))</f>
        <v>0</v>
      </c>
      <c r="AZ50" s="364" t="n">
        <f aca="false">IF(48&lt;5,0,IF(MAX(AU38:AZ38)&gt;AZ43+1+$B$18,1,0))</f>
        <v>0</v>
      </c>
      <c r="BA50" s="364" t="n">
        <f aca="false">IF(49&lt;5,0,IF(MAX(AV38:BA38)&gt;BA43+1+$B$18,1,0))</f>
        <v>0</v>
      </c>
      <c r="BB50" s="364" t="n">
        <f aca="false">IF(50&lt;5,0,IF(MAX(AW38:BB38)&gt;BB43+1+$B$18,1,0))</f>
        <v>0</v>
      </c>
      <c r="BC50" s="364" t="n">
        <f aca="false">IF(51&lt;5,0,IF(MAX(AX38:BC38)&gt;BC43+1+$B$18,1,0))</f>
        <v>0</v>
      </c>
      <c r="BD50" s="364" t="n">
        <f aca="false">IF(52&lt;5,0,IF(MAX(AY38:BD38)&gt;BD43+1+$B$18,1,0))</f>
        <v>0</v>
      </c>
      <c r="BE50" s="364" t="n">
        <f aca="false">IF(53&lt;5,0,IF(MAX(AZ38:BE38)&gt;BE43+1+$B$18,1,0))</f>
        <v>0</v>
      </c>
      <c r="BF50" s="364" t="n">
        <f aca="false">IF(54&lt;5,0,IF(MAX(BA38:BF38)&gt;BF43+1+$B$18,1,0))</f>
        <v>0</v>
      </c>
      <c r="BG50" s="364" t="n">
        <f aca="false">IF(55&lt;5,0,IF(MAX(BB38:BG38)&gt;BG43+1+$B$18,1,0))</f>
        <v>0</v>
      </c>
      <c r="BH50" s="364" t="n">
        <f aca="false">IF(56&lt;5,0,IF(MAX(BC38:BH38)&gt;BH43+1+$B$18,1,0))</f>
        <v>0</v>
      </c>
      <c r="BI50" s="364" t="n">
        <f aca="false">IF(57&lt;5,0,IF(MAX(BD38:BI38)&gt;BI43+1+$B$18,1,0))</f>
        <v>0</v>
      </c>
      <c r="BJ50" s="364" t="n">
        <f aca="false">IF(58&lt;5,0,IF(MAX(BE38:BJ38)&gt;BJ43+1+$B$18,1,0))</f>
        <v>0</v>
      </c>
      <c r="BK50" s="364" t="n">
        <f aca="false">IF(59&lt;5,0,IF(MAX(BF38:BK38)&gt;BK43+1+$B$18,1,0))</f>
        <v>0</v>
      </c>
      <c r="BL50" s="364" t="n">
        <f aca="false">IF(60&lt;5,0,IF(MAX(BG38:BL38)&gt;BL43+1+$B$18,1,0))</f>
        <v>0</v>
      </c>
      <c r="BM50" s="364" t="n">
        <f aca="false">IF(61&lt;5,0,IF(MAX(BH38:BM38)&gt;BM43+1+$B$18,1,0))</f>
        <v>0</v>
      </c>
      <c r="BN50" s="364" t="n">
        <f aca="false">IF(62&lt;5,0,IF(MAX(BI38:BN38)&gt;BN43+1+$B$18,1,0))</f>
        <v>0</v>
      </c>
      <c r="BO50" s="364" t="n">
        <f aca="false">IF(63&lt;5,0,IF(MAX(BJ38:BO38)&gt;BO43+1+$B$18,1,0))</f>
        <v>0</v>
      </c>
      <c r="BP50" s="364" t="n">
        <f aca="false">IF(64&lt;5,0,IF(MAX(BK38:BP38)&gt;BP43+1+$B$18,1,0))</f>
        <v>0</v>
      </c>
      <c r="BQ50" s="364" t="n">
        <f aca="false">IF(65&lt;5,0,IF(MAX(BL38:BQ38)&gt;BQ43+1+$B$18,1,0))</f>
        <v>0</v>
      </c>
      <c r="BR50" s="364" t="n">
        <f aca="false">IF(66&lt;5,0,IF(MAX(BM38:BR38)&gt;BR43+1+$B$18,1,0))</f>
        <v>0</v>
      </c>
      <c r="BS50" s="364" t="n">
        <f aca="false">IF(67&lt;5,0,IF(MAX(BN38:BS38)&gt;BS43+1+$B$18,1,0))</f>
        <v>0</v>
      </c>
      <c r="BT50" s="364" t="n">
        <f aca="false">IF(68&lt;5,0,IF(MAX(BO38:BT38)&gt;BT43+1+$B$18,1,0))</f>
        <v>0</v>
      </c>
      <c r="BU50" s="364" t="n">
        <f aca="false">IF(69&lt;5,0,IF(MAX(BP38:BU38)&gt;BU43+1+$B$18,1,0))</f>
        <v>0</v>
      </c>
      <c r="BV50" s="364" t="n">
        <f aca="false">IF(70&lt;5,0,IF(MAX(BQ38:BV38)&gt;BV43+1+$B$18,1,0))</f>
        <v>0</v>
      </c>
      <c r="BW50" s="364" t="n">
        <f aca="false">IF(71&lt;5,0,IF(MAX(BR38:BW38)&gt;BW43+1+$B$18,1,0))</f>
        <v>0</v>
      </c>
      <c r="BX50" s="364" t="n">
        <f aca="false">IF(72&lt;5,0,IF(MAX(BS38:BX38)&gt;BX43+1+$B$18,1,0))</f>
        <v>0</v>
      </c>
      <c r="BY50" s="364" t="n">
        <f aca="false">IF(73&lt;5,0,IF(MAX(BT38:BY38)&gt;BY43+1+$B$18,1,0))</f>
        <v>0</v>
      </c>
      <c r="BZ50" s="364" t="n">
        <f aca="false">IF(74&lt;5,0,IF(MAX(BU38:BZ38)&gt;BZ43+1+$B$18,1,0))</f>
        <v>0</v>
      </c>
      <c r="CA50" s="364" t="n">
        <f aca="false">IF(75&lt;5,0,IF(MAX(BV38:CA38)&gt;CA43+1+$B$18,1,0))</f>
        <v>0</v>
      </c>
      <c r="CB50" s="364" t="n">
        <f aca="false">IF(76&lt;5,0,IF(MAX(BW38:CB38)&gt;CB43+1+$B$18,1,0))</f>
        <v>0</v>
      </c>
      <c r="CC50" s="364" t="n">
        <f aca="false">IF(77&lt;5,0,IF(MAX(BX38:CC38)&gt;CC43+1+$B$18,1,0))</f>
        <v>0</v>
      </c>
      <c r="CD50" s="364" t="n">
        <f aca="false">IF(78&lt;5,0,IF(MAX(BY38:CD38)&gt;CD43+1+$B$18,1,0))</f>
        <v>0</v>
      </c>
      <c r="CE50" s="364" t="n">
        <f aca="false">IF(79&lt;5,0,IF(MAX(BZ38:CE38)&gt;CE43+1+$B$18,1,0))</f>
        <v>0</v>
      </c>
      <c r="CF50" s="364" t="n">
        <f aca="false">IF(80&lt;5,0,IF(MAX(CA38:CF38)&gt;CF43+1+$B$18,1,0))</f>
        <v>0</v>
      </c>
      <c r="CG50" s="364" t="n">
        <f aca="false">IF(81&lt;5,0,IF(MAX(CB38:CG38)&gt;CG43+1+$B$18,1,0))</f>
        <v>0</v>
      </c>
      <c r="CH50" s="364" t="n">
        <f aca="false">IF(82&lt;5,0,IF(MAX(CC38:CH38)&gt;CH43+1+$B$18,1,0))</f>
        <v>0</v>
      </c>
      <c r="CI50" s="364" t="n">
        <f aca="false">IF(83&lt;5,0,IF(MAX(CD38:CI38)&gt;CI43+1+$B$18,1,0))</f>
        <v>0</v>
      </c>
      <c r="CJ50" s="364" t="n">
        <f aca="false">IF(84&lt;5,0,IF(MAX(CE38:CJ38)&gt;CJ43+1+$B$18,1,0))</f>
        <v>0</v>
      </c>
      <c r="CK50" s="364" t="n">
        <f aca="false">IF(85&lt;5,0,IF(MAX(CF38:CK38)&gt;CK43+1+$B$18,1,0))</f>
        <v>0</v>
      </c>
      <c r="CL50" s="364" t="n">
        <f aca="false">IF(86&lt;5,0,IF(MAX(CG38:CL38)&gt;CL43+1+$B$18,1,0))</f>
        <v>0</v>
      </c>
      <c r="CM50" s="364" t="n">
        <f aca="false">IF(87&lt;5,0,IF(MAX(CH38:CM38)&gt;CM43+1+$B$18,1,0))</f>
        <v>0</v>
      </c>
      <c r="CN50" s="364" t="n">
        <f aca="false">IF(88&lt;5,0,IF(MAX(CI38:CN38)&gt;CN43+1+$B$18,1,0))</f>
        <v>0</v>
      </c>
      <c r="CO50" s="364" t="n">
        <f aca="false">IF(89&lt;5,0,IF(MAX(CJ38:CO38)&gt;CO43+1+$B$18,1,0))</f>
        <v>0</v>
      </c>
      <c r="CP50" s="364" t="n">
        <f aca="false">IF(90&lt;5,0,IF(MAX(CK38:CP38)&gt;CP43+1+$B$18,1,0))</f>
        <v>0</v>
      </c>
      <c r="CQ50" s="364" t="n">
        <f aca="false">IF(91&lt;5,0,IF(MAX(CL38:CQ38)&gt;CQ43+1+$B$18,1,0))</f>
        <v>0</v>
      </c>
      <c r="CR50" s="364" t="n">
        <f aca="false">IF(92&lt;5,0,IF(MAX(CM38:CR38)&gt;CR43+1+$B$18,1,0))</f>
        <v>0</v>
      </c>
      <c r="CS50" s="364" t="n">
        <f aca="false">IF(93&lt;5,0,IF(MAX(CN38:CS38)&gt;CS43+1+$B$18,1,0))</f>
        <v>0</v>
      </c>
      <c r="CT50" s="364" t="n">
        <f aca="false">IF(94&lt;5,0,IF(MAX(CO38:CT38)&gt;CT43+1+$B$18,1,0))</f>
        <v>0</v>
      </c>
      <c r="CU50" s="364" t="n">
        <f aca="false">IF(95&lt;5,0,IF(MAX(CP38:CU38)&gt;CU43+1+$B$18,1,0))</f>
        <v>0</v>
      </c>
      <c r="CV50" s="364" t="n">
        <f aca="false">IF(96&lt;5,0,IF(MAX(CQ38:CV38)&gt;CV43+1+$B$18,1,0))</f>
        <v>0</v>
      </c>
      <c r="CW50" s="364" t="n">
        <f aca="false">IF(97&lt;5,0,IF(MAX(CR38:CW38)&gt;CW43+1+$B$18,1,0))</f>
        <v>0</v>
      </c>
      <c r="CX50" s="364" t="n">
        <f aca="false">IF(98&lt;5,0,IF(MAX(CS38:CX38)&gt;CX43+1+$B$18,1,0))</f>
        <v>0</v>
      </c>
      <c r="CY50" s="364" t="n">
        <f aca="false">IF(99&lt;5,0,IF(MAX(CT38:CY38)&gt;CY43+1+$B$18,1,0))</f>
        <v>0</v>
      </c>
      <c r="CZ50" s="364" t="n">
        <f aca="false">IF(100&lt;5,0,IF(MAX(CU38:CZ38)&gt;CZ43+1+$B$18,1,0))</f>
        <v>0</v>
      </c>
      <c r="DA50" s="364" t="n">
        <f aca="false">IF(101&lt;5,0,IF(MAX(CV38:DA38)&gt;DA43+1+$B$18,1,0))</f>
        <v>0</v>
      </c>
      <c r="DB50" s="364" t="n">
        <f aca="false">IF(102&lt;5,0,IF(MAX(CW38:DB38)&gt;DB43+1+$B$18,1,0))</f>
        <v>0</v>
      </c>
      <c r="DC50" s="364" t="n">
        <f aca="false">IF(103&lt;5,0,IF(MAX(CX38:DC38)&gt;DC43+1+$B$18,1,0))</f>
        <v>0</v>
      </c>
      <c r="DD50" s="364" t="n">
        <f aca="false">IF(104&lt;5,0,IF(MAX(CY38:DD38)&gt;DD43+1+$B$18,1,0))</f>
        <v>0</v>
      </c>
      <c r="DE50" s="364" t="n">
        <f aca="false">IF(105&lt;5,0,IF(MAX(CZ38:DE38)&gt;DE43+1+$B$18,1,0))</f>
        <v>0</v>
      </c>
    </row>
    <row r="51" customFormat="false" ht="13.5" hidden="false" customHeight="true" outlineLevel="0" collapsed="false">
      <c r="A51" s="109" t="s">
        <v>1219</v>
      </c>
      <c r="B51" s="223" t="n">
        <f aca="false">$B$26</f>
        <v>160000</v>
      </c>
      <c r="E51" s="364" t="n">
        <f aca="false">IF(1&lt;5,0,IF(MAX(E38)&gt;E43+2+$B$18,1,0))</f>
        <v>0</v>
      </c>
      <c r="F51" s="364" t="n">
        <f aca="false">IF(2&lt;5,0,IF(MAX(E38:F38)&gt;F43+2+$B$18,1,0))</f>
        <v>0</v>
      </c>
      <c r="G51" s="364" t="n">
        <f aca="false">IF(3&lt;5,0,IF(MAX(E38:G38)&gt;G43+2+$B$18,1,0))</f>
        <v>0</v>
      </c>
      <c r="H51" s="364" t="n">
        <f aca="false">IF(4&lt;5,0,IF(MAX(E38:H38)&gt;H43+2+$B$18,1,0))</f>
        <v>0</v>
      </c>
      <c r="I51" s="364" t="n">
        <f aca="false">IF(5&lt;5,0,IF(MAX(E38:I38)&gt;I43+2+$B$18,1,0))</f>
        <v>0</v>
      </c>
      <c r="J51" s="364" t="n">
        <f aca="false">IF(6&lt;5,0,IF(MAX(E38:J38)&gt;J43+2+$B$18,1,0))</f>
        <v>0</v>
      </c>
      <c r="K51" s="364" t="n">
        <f aca="false">IF(7&lt;5,0,IF(MAX(F38:K38)&gt;K43+2+$B$18,1,0))</f>
        <v>0</v>
      </c>
      <c r="L51" s="364" t="n">
        <f aca="false">IF(8&lt;5,0,IF(MAX(G38:L38)&gt;L43+2+$B$18,1,0))</f>
        <v>0</v>
      </c>
      <c r="M51" s="364" t="n">
        <f aca="false">IF(9&lt;5,0,IF(MAX(H38:M38)&gt;M43+2+$B$18,1,0))</f>
        <v>0</v>
      </c>
      <c r="N51" s="364" t="n">
        <f aca="false">IF(10&lt;5,0,IF(MAX(I38:N38)&gt;N43+2+$B$18,1,0))</f>
        <v>0</v>
      </c>
      <c r="O51" s="364" t="n">
        <f aca="false">IF(11&lt;5,0,IF(MAX(J38:O38)&gt;O43+2+$B$18,1,0))</f>
        <v>0</v>
      </c>
      <c r="P51" s="364" t="n">
        <f aca="false">IF(12&lt;5,0,IF(MAX(K38:P38)&gt;P43+2+$B$18,1,0))</f>
        <v>0</v>
      </c>
      <c r="Q51" s="364" t="n">
        <f aca="false">IF(13&lt;5,0,IF(MAX(L38:Q38)&gt;Q43+2+$B$18,1,0))</f>
        <v>0</v>
      </c>
      <c r="R51" s="364" t="n">
        <f aca="false">IF(14&lt;5,0,IF(MAX(M38:R38)&gt;R43+2+$B$18,1,0))</f>
        <v>0</v>
      </c>
      <c r="S51" s="364" t="n">
        <f aca="false">IF(15&lt;5,0,IF(MAX(N38:S38)&gt;S43+2+$B$18,1,0))</f>
        <v>1</v>
      </c>
      <c r="T51" s="364" t="n">
        <f aca="false">IF(16&lt;5,0,IF(MAX(O38:T38)&gt;T43+2+$B$18,1,0))</f>
        <v>1</v>
      </c>
      <c r="U51" s="364" t="n">
        <f aca="false">IF(17&lt;5,0,IF(MAX(P38:U38)&gt;U43+2+$B$18,1,0))</f>
        <v>1</v>
      </c>
      <c r="V51" s="364" t="n">
        <f aca="false">IF(18&lt;5,0,IF(MAX(Q38:V38)&gt;V43+2+$B$18,1,0))</f>
        <v>1</v>
      </c>
      <c r="W51" s="364" t="n">
        <f aca="false">IF(19&lt;5,0,IF(MAX(R38:W38)&gt;W43+2+$B$18,1,0))</f>
        <v>1</v>
      </c>
      <c r="X51" s="364" t="n">
        <f aca="false">IF(20&lt;5,0,IF(MAX(S38:X38)&gt;X43+2+$B$18,1,0))</f>
        <v>1</v>
      </c>
      <c r="Y51" s="364" t="n">
        <f aca="false">IF(21&lt;5,0,IF(MAX(T38:Y38)&gt;Y43+2+$B$18,1,0))</f>
        <v>1</v>
      </c>
      <c r="Z51" s="364" t="n">
        <f aca="false">IF(22&lt;5,0,IF(MAX(U38:Z38)&gt;Z43+2+$B$18,1,0))</f>
        <v>0</v>
      </c>
      <c r="AA51" s="364" t="n">
        <f aca="false">IF(23&lt;5,0,IF(MAX(V38:AA38)&gt;AA43+2+$B$18,1,0))</f>
        <v>0</v>
      </c>
      <c r="AB51" s="364" t="n">
        <f aca="false">IF(24&lt;5,0,IF(MAX(W38:AB38)&gt;AB43+2+$B$18,1,0))</f>
        <v>0</v>
      </c>
      <c r="AC51" s="364" t="n">
        <f aca="false">IF(25&lt;5,0,IF(MAX(X38:AC38)&gt;AC43+2+$B$18,1,0))</f>
        <v>0</v>
      </c>
      <c r="AD51" s="364" t="n">
        <f aca="false">IF(26&lt;5,0,IF(MAX(Y38:AD38)&gt;AD43+2+$B$18,1,0))</f>
        <v>0</v>
      </c>
      <c r="AE51" s="364" t="n">
        <f aca="false">IF(27&lt;5,0,IF(MAX(Z38:AE38)&gt;AE43+2+$B$18,1,0))</f>
        <v>0</v>
      </c>
      <c r="AF51" s="364" t="n">
        <f aca="false">IF(28&lt;5,0,IF(MAX(AA38:AF38)&gt;AF43+2+$B$18,1,0))</f>
        <v>0</v>
      </c>
      <c r="AG51" s="364" t="n">
        <f aca="false">IF(29&lt;5,0,IF(MAX(AB38:AG38)&gt;AG43+2+$B$18,1,0))</f>
        <v>0</v>
      </c>
      <c r="AH51" s="364" t="n">
        <f aca="false">IF(30&lt;5,0,IF(MAX(AC38:AH38)&gt;AH43+2+$B$18,1,0))</f>
        <v>0</v>
      </c>
      <c r="AI51" s="364" t="n">
        <f aca="false">IF(31&lt;5,0,IF(MAX(AD38:AI38)&gt;AI43+2+$B$18,1,0))</f>
        <v>0</v>
      </c>
      <c r="AJ51" s="364" t="n">
        <f aca="false">IF(32&lt;5,0,IF(MAX(AE38:AJ38)&gt;AJ43+2+$B$18,1,0))</f>
        <v>0</v>
      </c>
      <c r="AK51" s="364" t="n">
        <f aca="false">IF(33&lt;5,0,IF(MAX(AF38:AK38)&gt;AK43+2+$B$18,1,0))</f>
        <v>0</v>
      </c>
      <c r="AL51" s="364" t="n">
        <f aca="false">IF(34&lt;5,0,IF(MAX(AG38:AL38)&gt;AL43+2+$B$18,1,0))</f>
        <v>0</v>
      </c>
      <c r="AM51" s="364" t="n">
        <f aca="false">IF(35&lt;5,0,IF(MAX(AH38:AM38)&gt;AM43+2+$B$18,1,0))</f>
        <v>0</v>
      </c>
      <c r="AN51" s="364" t="n">
        <f aca="false">IF(36&lt;5,0,IF(MAX(AI38:AN38)&gt;AN43+2+$B$18,1,0))</f>
        <v>0</v>
      </c>
      <c r="AO51" s="364" t="n">
        <f aca="false">IF(37&lt;5,0,IF(MAX(AJ38:AO38)&gt;AO43+2+$B$18,1,0))</f>
        <v>0</v>
      </c>
      <c r="AP51" s="364" t="n">
        <f aca="false">IF(38&lt;5,0,IF(MAX(AK38:AP38)&gt;AP43+2+$B$18,1,0))</f>
        <v>0</v>
      </c>
      <c r="AQ51" s="364" t="n">
        <f aca="false">IF(39&lt;5,0,IF(MAX(AL38:AQ38)&gt;AQ43+2+$B$18,1,0))</f>
        <v>0</v>
      </c>
      <c r="AR51" s="364" t="n">
        <f aca="false">IF(40&lt;5,0,IF(MAX(AM38:AR38)&gt;AR43+2+$B$18,1,0))</f>
        <v>0</v>
      </c>
      <c r="AS51" s="364" t="n">
        <f aca="false">IF(41&lt;5,0,IF(MAX(AN38:AS38)&gt;AS43+2+$B$18,1,0))</f>
        <v>0</v>
      </c>
      <c r="AT51" s="364" t="n">
        <f aca="false">IF(42&lt;5,0,IF(MAX(AO38:AT38)&gt;AT43+2+$B$18,1,0))</f>
        <v>0</v>
      </c>
      <c r="AU51" s="364" t="n">
        <f aca="false">IF(43&lt;5,0,IF(MAX(AP38:AU38)&gt;AU43+2+$B$18,1,0))</f>
        <v>0</v>
      </c>
      <c r="AV51" s="364" t="n">
        <f aca="false">IF(44&lt;5,0,IF(MAX(AQ38:AV38)&gt;AV43+2+$B$18,1,0))</f>
        <v>0</v>
      </c>
      <c r="AW51" s="364" t="n">
        <f aca="false">IF(45&lt;5,0,IF(MAX(AR38:AW38)&gt;AW43+2+$B$18,1,0))</f>
        <v>0</v>
      </c>
      <c r="AX51" s="364" t="n">
        <f aca="false">IF(46&lt;5,0,IF(MAX(AS38:AX38)&gt;AX43+2+$B$18,1,0))</f>
        <v>0</v>
      </c>
      <c r="AY51" s="364" t="n">
        <f aca="false">IF(47&lt;5,0,IF(MAX(AT38:AY38)&gt;AY43+2+$B$18,1,0))</f>
        <v>0</v>
      </c>
      <c r="AZ51" s="364" t="n">
        <f aca="false">IF(48&lt;5,0,IF(MAX(AU38:AZ38)&gt;AZ43+2+$B$18,1,0))</f>
        <v>0</v>
      </c>
      <c r="BA51" s="364" t="n">
        <f aca="false">IF(49&lt;5,0,IF(MAX(AV38:BA38)&gt;BA43+2+$B$18,1,0))</f>
        <v>0</v>
      </c>
      <c r="BB51" s="364" t="n">
        <f aca="false">IF(50&lt;5,0,IF(MAX(AW38:BB38)&gt;BB43+2+$B$18,1,0))</f>
        <v>0</v>
      </c>
      <c r="BC51" s="364" t="n">
        <f aca="false">IF(51&lt;5,0,IF(MAX(AX38:BC38)&gt;BC43+2+$B$18,1,0))</f>
        <v>0</v>
      </c>
      <c r="BD51" s="364" t="n">
        <f aca="false">IF(52&lt;5,0,IF(MAX(AY38:BD38)&gt;BD43+2+$B$18,1,0))</f>
        <v>0</v>
      </c>
      <c r="BE51" s="364" t="n">
        <f aca="false">IF(53&lt;5,0,IF(MAX(AZ38:BE38)&gt;BE43+2+$B$18,1,0))</f>
        <v>0</v>
      </c>
      <c r="BF51" s="364" t="n">
        <f aca="false">IF(54&lt;5,0,IF(MAX(BA38:BF38)&gt;BF43+2+$B$18,1,0))</f>
        <v>0</v>
      </c>
      <c r="BG51" s="364" t="n">
        <f aca="false">IF(55&lt;5,0,IF(MAX(BB38:BG38)&gt;BG43+2+$B$18,1,0))</f>
        <v>0</v>
      </c>
      <c r="BH51" s="364" t="n">
        <f aca="false">IF(56&lt;5,0,IF(MAX(BC38:BH38)&gt;BH43+2+$B$18,1,0))</f>
        <v>0</v>
      </c>
      <c r="BI51" s="364" t="n">
        <f aca="false">IF(57&lt;5,0,IF(MAX(BD38:BI38)&gt;BI43+2+$B$18,1,0))</f>
        <v>0</v>
      </c>
      <c r="BJ51" s="364" t="n">
        <f aca="false">IF(58&lt;5,0,IF(MAX(BE38:BJ38)&gt;BJ43+2+$B$18,1,0))</f>
        <v>0</v>
      </c>
      <c r="BK51" s="364" t="n">
        <f aca="false">IF(59&lt;5,0,IF(MAX(BF38:BK38)&gt;BK43+2+$B$18,1,0))</f>
        <v>0</v>
      </c>
      <c r="BL51" s="364" t="n">
        <f aca="false">IF(60&lt;5,0,IF(MAX(BG38:BL38)&gt;BL43+2+$B$18,1,0))</f>
        <v>0</v>
      </c>
      <c r="BM51" s="364" t="n">
        <f aca="false">IF(61&lt;5,0,IF(MAX(BH38:BM38)&gt;BM43+2+$B$18,1,0))</f>
        <v>0</v>
      </c>
      <c r="BN51" s="364" t="n">
        <f aca="false">IF(62&lt;5,0,IF(MAX(BI38:BN38)&gt;BN43+2+$B$18,1,0))</f>
        <v>0</v>
      </c>
      <c r="BO51" s="364" t="n">
        <f aca="false">IF(63&lt;5,0,IF(MAX(BJ38:BO38)&gt;BO43+2+$B$18,1,0))</f>
        <v>0</v>
      </c>
      <c r="BP51" s="364" t="n">
        <f aca="false">IF(64&lt;5,0,IF(MAX(BK38:BP38)&gt;BP43+2+$B$18,1,0))</f>
        <v>0</v>
      </c>
      <c r="BQ51" s="364" t="n">
        <f aca="false">IF(65&lt;5,0,IF(MAX(BL38:BQ38)&gt;BQ43+2+$B$18,1,0))</f>
        <v>0</v>
      </c>
      <c r="BR51" s="364" t="n">
        <f aca="false">IF(66&lt;5,0,IF(MAX(BM38:BR38)&gt;BR43+2+$B$18,1,0))</f>
        <v>0</v>
      </c>
      <c r="BS51" s="364" t="n">
        <f aca="false">IF(67&lt;5,0,IF(MAX(BN38:BS38)&gt;BS43+2+$B$18,1,0))</f>
        <v>0</v>
      </c>
      <c r="BT51" s="364" t="n">
        <f aca="false">IF(68&lt;5,0,IF(MAX(BO38:BT38)&gt;BT43+2+$B$18,1,0))</f>
        <v>0</v>
      </c>
      <c r="BU51" s="364" t="n">
        <f aca="false">IF(69&lt;5,0,IF(MAX(BP38:BU38)&gt;BU43+2+$B$18,1,0))</f>
        <v>0</v>
      </c>
      <c r="BV51" s="364" t="n">
        <f aca="false">IF(70&lt;5,0,IF(MAX(BQ38:BV38)&gt;BV43+2+$B$18,1,0))</f>
        <v>0</v>
      </c>
      <c r="BW51" s="364" t="n">
        <f aca="false">IF(71&lt;5,0,IF(MAX(BR38:BW38)&gt;BW43+2+$B$18,1,0))</f>
        <v>0</v>
      </c>
      <c r="BX51" s="364" t="n">
        <f aca="false">IF(72&lt;5,0,IF(MAX(BS38:BX38)&gt;BX43+2+$B$18,1,0))</f>
        <v>0</v>
      </c>
      <c r="BY51" s="364" t="n">
        <f aca="false">IF(73&lt;5,0,IF(MAX(BT38:BY38)&gt;BY43+2+$B$18,1,0))</f>
        <v>0</v>
      </c>
      <c r="BZ51" s="364" t="n">
        <f aca="false">IF(74&lt;5,0,IF(MAX(BU38:BZ38)&gt;BZ43+2+$B$18,1,0))</f>
        <v>0</v>
      </c>
      <c r="CA51" s="364" t="n">
        <f aca="false">IF(75&lt;5,0,IF(MAX(BV38:CA38)&gt;CA43+2+$B$18,1,0))</f>
        <v>0</v>
      </c>
      <c r="CB51" s="364" t="n">
        <f aca="false">IF(76&lt;5,0,IF(MAX(BW38:CB38)&gt;CB43+2+$B$18,1,0))</f>
        <v>0</v>
      </c>
      <c r="CC51" s="364" t="n">
        <f aca="false">IF(77&lt;5,0,IF(MAX(BX38:CC38)&gt;CC43+2+$B$18,1,0))</f>
        <v>0</v>
      </c>
      <c r="CD51" s="364" t="n">
        <f aca="false">IF(78&lt;5,0,IF(MAX(BY38:CD38)&gt;CD43+2+$B$18,1,0))</f>
        <v>0</v>
      </c>
      <c r="CE51" s="364" t="n">
        <f aca="false">IF(79&lt;5,0,IF(MAX(BZ38:CE38)&gt;CE43+2+$B$18,1,0))</f>
        <v>0</v>
      </c>
      <c r="CF51" s="364" t="n">
        <f aca="false">IF(80&lt;5,0,IF(MAX(CA38:CF38)&gt;CF43+2+$B$18,1,0))</f>
        <v>0</v>
      </c>
      <c r="CG51" s="364" t="n">
        <f aca="false">IF(81&lt;5,0,IF(MAX(CB38:CG38)&gt;CG43+2+$B$18,1,0))</f>
        <v>0</v>
      </c>
      <c r="CH51" s="364" t="n">
        <f aca="false">IF(82&lt;5,0,IF(MAX(CC38:CH38)&gt;CH43+2+$B$18,1,0))</f>
        <v>0</v>
      </c>
      <c r="CI51" s="364" t="n">
        <f aca="false">IF(83&lt;5,0,IF(MAX(CD38:CI38)&gt;CI43+2+$B$18,1,0))</f>
        <v>0</v>
      </c>
      <c r="CJ51" s="364" t="n">
        <f aca="false">IF(84&lt;5,0,IF(MAX(CE38:CJ38)&gt;CJ43+2+$B$18,1,0))</f>
        <v>0</v>
      </c>
      <c r="CK51" s="364" t="n">
        <f aca="false">IF(85&lt;5,0,IF(MAX(CF38:CK38)&gt;CK43+2+$B$18,1,0))</f>
        <v>0</v>
      </c>
      <c r="CL51" s="364" t="n">
        <f aca="false">IF(86&lt;5,0,IF(MAX(CG38:CL38)&gt;CL43+2+$B$18,1,0))</f>
        <v>0</v>
      </c>
      <c r="CM51" s="364" t="n">
        <f aca="false">IF(87&lt;5,0,IF(MAX(CH38:CM38)&gt;CM43+2+$B$18,1,0))</f>
        <v>0</v>
      </c>
      <c r="CN51" s="364" t="n">
        <f aca="false">IF(88&lt;5,0,IF(MAX(CI38:CN38)&gt;CN43+2+$B$18,1,0))</f>
        <v>0</v>
      </c>
      <c r="CO51" s="364" t="n">
        <f aca="false">IF(89&lt;5,0,IF(MAX(CJ38:CO38)&gt;CO43+2+$B$18,1,0))</f>
        <v>0</v>
      </c>
      <c r="CP51" s="364" t="n">
        <f aca="false">IF(90&lt;5,0,IF(MAX(CK38:CP38)&gt;CP43+2+$B$18,1,0))</f>
        <v>0</v>
      </c>
      <c r="CQ51" s="364" t="n">
        <f aca="false">IF(91&lt;5,0,IF(MAX(CL38:CQ38)&gt;CQ43+2+$B$18,1,0))</f>
        <v>0</v>
      </c>
      <c r="CR51" s="364" t="n">
        <f aca="false">IF(92&lt;5,0,IF(MAX(CM38:CR38)&gt;CR43+2+$B$18,1,0))</f>
        <v>0</v>
      </c>
      <c r="CS51" s="364" t="n">
        <f aca="false">IF(93&lt;5,0,IF(MAX(CN38:CS38)&gt;CS43+2+$B$18,1,0))</f>
        <v>0</v>
      </c>
      <c r="CT51" s="364" t="n">
        <f aca="false">IF(94&lt;5,0,IF(MAX(CO38:CT38)&gt;CT43+2+$B$18,1,0))</f>
        <v>0</v>
      </c>
      <c r="CU51" s="364" t="n">
        <f aca="false">IF(95&lt;5,0,IF(MAX(CP38:CU38)&gt;CU43+2+$B$18,1,0))</f>
        <v>0</v>
      </c>
      <c r="CV51" s="364" t="n">
        <f aca="false">IF(96&lt;5,0,IF(MAX(CQ38:CV38)&gt;CV43+2+$B$18,1,0))</f>
        <v>0</v>
      </c>
      <c r="CW51" s="364" t="n">
        <f aca="false">IF(97&lt;5,0,IF(MAX(CR38:CW38)&gt;CW43+2+$B$18,1,0))</f>
        <v>0</v>
      </c>
      <c r="CX51" s="364" t="n">
        <f aca="false">IF(98&lt;5,0,IF(MAX(CS38:CX38)&gt;CX43+2+$B$18,1,0))</f>
        <v>0</v>
      </c>
      <c r="CY51" s="364" t="n">
        <f aca="false">IF(99&lt;5,0,IF(MAX(CT38:CY38)&gt;CY43+2+$B$18,1,0))</f>
        <v>0</v>
      </c>
      <c r="CZ51" s="364" t="n">
        <f aca="false">IF(100&lt;5,0,IF(MAX(CU38:CZ38)&gt;CZ43+2+$B$18,1,0))</f>
        <v>0</v>
      </c>
      <c r="DA51" s="364" t="n">
        <f aca="false">IF(101&lt;5,0,IF(MAX(CV38:DA38)&gt;DA43+2+$B$18,1,0))</f>
        <v>0</v>
      </c>
      <c r="DB51" s="364" t="n">
        <f aca="false">IF(102&lt;5,0,IF(MAX(CW38:DB38)&gt;DB43+2+$B$18,1,0))</f>
        <v>0</v>
      </c>
      <c r="DC51" s="364" t="n">
        <f aca="false">IF(103&lt;5,0,IF(MAX(CX38:DC38)&gt;DC43+2+$B$18,1,0))</f>
        <v>0</v>
      </c>
      <c r="DD51" s="364" t="n">
        <f aca="false">IF(104&lt;5,0,IF(MAX(CY38:DD38)&gt;DD43+2+$B$18,1,0))</f>
        <v>0</v>
      </c>
      <c r="DE51" s="364" t="n">
        <f aca="false">IF(105&lt;5,0,IF(MAX(CZ38:DE38)&gt;DE43+2+$B$18,1,0))</f>
        <v>0</v>
      </c>
    </row>
    <row r="52" customFormat="false" ht="13.5" hidden="false" customHeight="true" outlineLevel="0" collapsed="false">
      <c r="A52" s="109" t="s">
        <v>1220</v>
      </c>
      <c r="B52" s="223" t="n">
        <f aca="false">$B$26</f>
        <v>160000</v>
      </c>
      <c r="E52" s="364" t="n">
        <f aca="false">IF(1&lt;5,0,IF(MAX(E38)&gt;E43+3+$B$18,1,0))</f>
        <v>0</v>
      </c>
      <c r="F52" s="364" t="n">
        <f aca="false">IF(2&lt;5,0,IF(MAX(E38:F38)&gt;F43+3+$B$18,1,0))</f>
        <v>0</v>
      </c>
      <c r="G52" s="364" t="n">
        <f aca="false">IF(3&lt;5,0,IF(MAX(E38:G38)&gt;G43+3+$B$18,1,0))</f>
        <v>0</v>
      </c>
      <c r="H52" s="364" t="n">
        <f aca="false">IF(4&lt;5,0,IF(MAX(E38:H38)&gt;H43+3+$B$18,1,0))</f>
        <v>0</v>
      </c>
      <c r="I52" s="364" t="n">
        <f aca="false">IF(5&lt;5,0,IF(MAX(E38:I38)&gt;I43+3+$B$18,1,0))</f>
        <v>0</v>
      </c>
      <c r="J52" s="364" t="n">
        <f aca="false">IF(6&lt;5,0,IF(MAX(E38:J38)&gt;J43+3+$B$18,1,0))</f>
        <v>0</v>
      </c>
      <c r="K52" s="364" t="n">
        <f aca="false">IF(7&lt;5,0,IF(MAX(F38:K38)&gt;K43+3+$B$18,1,0))</f>
        <v>0</v>
      </c>
      <c r="L52" s="364" t="n">
        <f aca="false">IF(8&lt;5,0,IF(MAX(G38:L38)&gt;L43+3+$B$18,1,0))</f>
        <v>0</v>
      </c>
      <c r="M52" s="364" t="n">
        <f aca="false">IF(9&lt;5,0,IF(MAX(H38:M38)&gt;M43+3+$B$18,1,0))</f>
        <v>0</v>
      </c>
      <c r="N52" s="364" t="n">
        <f aca="false">IF(10&lt;5,0,IF(MAX(I38:N38)&gt;N43+3+$B$18,1,0))</f>
        <v>0</v>
      </c>
      <c r="O52" s="364" t="n">
        <f aca="false">IF(11&lt;5,0,IF(MAX(J38:O38)&gt;O43+3+$B$18,1,0))</f>
        <v>0</v>
      </c>
      <c r="P52" s="364" t="n">
        <f aca="false">IF(12&lt;5,0,IF(MAX(K38:P38)&gt;P43+3+$B$18,1,0))</f>
        <v>0</v>
      </c>
      <c r="Q52" s="364" t="n">
        <f aca="false">IF(13&lt;5,0,IF(MAX(L38:Q38)&gt;Q43+3+$B$18,1,0))</f>
        <v>0</v>
      </c>
      <c r="R52" s="364" t="n">
        <f aca="false">IF(14&lt;5,0,IF(MAX(M38:R38)&gt;R43+3+$B$18,1,0))</f>
        <v>0</v>
      </c>
      <c r="S52" s="364" t="n">
        <f aca="false">IF(15&lt;5,0,IF(MAX(N38:S38)&gt;S43+3+$B$18,1,0))</f>
        <v>0</v>
      </c>
      <c r="T52" s="364" t="n">
        <f aca="false">IF(16&lt;5,0,IF(MAX(O38:T38)&gt;T43+3+$B$18,1,0))</f>
        <v>0</v>
      </c>
      <c r="U52" s="364" t="n">
        <f aca="false">IF(17&lt;5,0,IF(MAX(P38:U38)&gt;U43+3+$B$18,1,0))</f>
        <v>0</v>
      </c>
      <c r="V52" s="364" t="n">
        <f aca="false">IF(18&lt;5,0,IF(MAX(Q38:V38)&gt;V43+3+$B$18,1,0))</f>
        <v>0</v>
      </c>
      <c r="W52" s="364" t="n">
        <f aca="false">IF(19&lt;5,0,IF(MAX(R38:W38)&gt;W43+3+$B$18,1,0))</f>
        <v>0</v>
      </c>
      <c r="X52" s="364" t="n">
        <f aca="false">IF(20&lt;5,0,IF(MAX(S38:X38)&gt;X43+3+$B$18,1,0))</f>
        <v>0</v>
      </c>
      <c r="Y52" s="364" t="n">
        <f aca="false">IF(21&lt;5,0,IF(MAX(T38:Y38)&gt;Y43+3+$B$18,1,0))</f>
        <v>0</v>
      </c>
      <c r="Z52" s="364" t="n">
        <f aca="false">IF(22&lt;5,0,IF(MAX(U38:Z38)&gt;Z43+3+$B$18,1,0))</f>
        <v>0</v>
      </c>
      <c r="AA52" s="364" t="n">
        <f aca="false">IF(23&lt;5,0,IF(MAX(V38:AA38)&gt;AA43+3+$B$18,1,0))</f>
        <v>0</v>
      </c>
      <c r="AB52" s="364" t="n">
        <f aca="false">IF(24&lt;5,0,IF(MAX(W38:AB38)&gt;AB43+3+$B$18,1,0))</f>
        <v>0</v>
      </c>
      <c r="AC52" s="364" t="n">
        <f aca="false">IF(25&lt;5,0,IF(MAX(X38:AC38)&gt;AC43+3+$B$18,1,0))</f>
        <v>0</v>
      </c>
      <c r="AD52" s="364" t="n">
        <f aca="false">IF(26&lt;5,0,IF(MAX(Y38:AD38)&gt;AD43+3+$B$18,1,0))</f>
        <v>0</v>
      </c>
      <c r="AE52" s="364" t="n">
        <f aca="false">IF(27&lt;5,0,IF(MAX(Z38:AE38)&gt;AE43+3+$B$18,1,0))</f>
        <v>0</v>
      </c>
      <c r="AF52" s="364" t="n">
        <f aca="false">IF(28&lt;5,0,IF(MAX(AA38:AF38)&gt;AF43+3+$B$18,1,0))</f>
        <v>0</v>
      </c>
      <c r="AG52" s="364" t="n">
        <f aca="false">IF(29&lt;5,0,IF(MAX(AB38:AG38)&gt;AG43+3+$B$18,1,0))</f>
        <v>0</v>
      </c>
      <c r="AH52" s="364" t="n">
        <f aca="false">IF(30&lt;5,0,IF(MAX(AC38:AH38)&gt;AH43+3+$B$18,1,0))</f>
        <v>0</v>
      </c>
      <c r="AI52" s="364" t="n">
        <f aca="false">IF(31&lt;5,0,IF(MAX(AD38:AI38)&gt;AI43+3+$B$18,1,0))</f>
        <v>0</v>
      </c>
      <c r="AJ52" s="364" t="n">
        <f aca="false">IF(32&lt;5,0,IF(MAX(AE38:AJ38)&gt;AJ43+3+$B$18,1,0))</f>
        <v>0</v>
      </c>
      <c r="AK52" s="364" t="n">
        <f aca="false">IF(33&lt;5,0,IF(MAX(AF38:AK38)&gt;AK43+3+$B$18,1,0))</f>
        <v>0</v>
      </c>
      <c r="AL52" s="364" t="n">
        <f aca="false">IF(34&lt;5,0,IF(MAX(AG38:AL38)&gt;AL43+3+$B$18,1,0))</f>
        <v>0</v>
      </c>
      <c r="AM52" s="364" t="n">
        <f aca="false">IF(35&lt;5,0,IF(MAX(AH38:AM38)&gt;AM43+3+$B$18,1,0))</f>
        <v>0</v>
      </c>
      <c r="AN52" s="364" t="n">
        <f aca="false">IF(36&lt;5,0,IF(MAX(AI38:AN38)&gt;AN43+3+$B$18,1,0))</f>
        <v>0</v>
      </c>
      <c r="AO52" s="364" t="n">
        <f aca="false">IF(37&lt;5,0,IF(MAX(AJ38:AO38)&gt;AO43+3+$B$18,1,0))</f>
        <v>0</v>
      </c>
      <c r="AP52" s="364" t="n">
        <f aca="false">IF(38&lt;5,0,IF(MAX(AK38:AP38)&gt;AP43+3+$B$18,1,0))</f>
        <v>0</v>
      </c>
      <c r="AQ52" s="364" t="n">
        <f aca="false">IF(39&lt;5,0,IF(MAX(AL38:AQ38)&gt;AQ43+3+$B$18,1,0))</f>
        <v>0</v>
      </c>
      <c r="AR52" s="364" t="n">
        <f aca="false">IF(40&lt;5,0,IF(MAX(AM38:AR38)&gt;AR43+3+$B$18,1,0))</f>
        <v>0</v>
      </c>
      <c r="AS52" s="364" t="n">
        <f aca="false">IF(41&lt;5,0,IF(MAX(AN38:AS38)&gt;AS43+3+$B$18,1,0))</f>
        <v>0</v>
      </c>
      <c r="AT52" s="364" t="n">
        <f aca="false">IF(42&lt;5,0,IF(MAX(AO38:AT38)&gt;AT43+3+$B$18,1,0))</f>
        <v>0</v>
      </c>
      <c r="AU52" s="364" t="n">
        <f aca="false">IF(43&lt;5,0,IF(MAX(AP38:AU38)&gt;AU43+3+$B$18,1,0))</f>
        <v>0</v>
      </c>
      <c r="AV52" s="364" t="n">
        <f aca="false">IF(44&lt;5,0,IF(MAX(AQ38:AV38)&gt;AV43+3+$B$18,1,0))</f>
        <v>0</v>
      </c>
      <c r="AW52" s="364" t="n">
        <f aca="false">IF(45&lt;5,0,IF(MAX(AR38:AW38)&gt;AW43+3+$B$18,1,0))</f>
        <v>0</v>
      </c>
      <c r="AX52" s="364" t="n">
        <f aca="false">IF(46&lt;5,0,IF(MAX(AS38:AX38)&gt;AX43+3+$B$18,1,0))</f>
        <v>0</v>
      </c>
      <c r="AY52" s="364" t="n">
        <f aca="false">IF(47&lt;5,0,IF(MAX(AT38:AY38)&gt;AY43+3+$B$18,1,0))</f>
        <v>0</v>
      </c>
      <c r="AZ52" s="364" t="n">
        <f aca="false">IF(48&lt;5,0,IF(MAX(AU38:AZ38)&gt;AZ43+3+$B$18,1,0))</f>
        <v>0</v>
      </c>
      <c r="BA52" s="364" t="n">
        <f aca="false">IF(49&lt;5,0,IF(MAX(AV38:BA38)&gt;BA43+3+$B$18,1,0))</f>
        <v>0</v>
      </c>
      <c r="BB52" s="364" t="n">
        <f aca="false">IF(50&lt;5,0,IF(MAX(AW38:BB38)&gt;BB43+3+$B$18,1,0))</f>
        <v>0</v>
      </c>
      <c r="BC52" s="364" t="n">
        <f aca="false">IF(51&lt;5,0,IF(MAX(AX38:BC38)&gt;BC43+3+$B$18,1,0))</f>
        <v>0</v>
      </c>
      <c r="BD52" s="364" t="n">
        <f aca="false">IF(52&lt;5,0,IF(MAX(AY38:BD38)&gt;BD43+3+$B$18,1,0))</f>
        <v>0</v>
      </c>
      <c r="BE52" s="364" t="n">
        <f aca="false">IF(53&lt;5,0,IF(MAX(AZ38:BE38)&gt;BE43+3+$B$18,1,0))</f>
        <v>0</v>
      </c>
      <c r="BF52" s="364" t="n">
        <f aca="false">IF(54&lt;5,0,IF(MAX(BA38:BF38)&gt;BF43+3+$B$18,1,0))</f>
        <v>0</v>
      </c>
      <c r="BG52" s="364" t="n">
        <f aca="false">IF(55&lt;5,0,IF(MAX(BB38:BG38)&gt;BG43+3+$B$18,1,0))</f>
        <v>0</v>
      </c>
      <c r="BH52" s="364" t="n">
        <f aca="false">IF(56&lt;5,0,IF(MAX(BC38:BH38)&gt;BH43+3+$B$18,1,0))</f>
        <v>0</v>
      </c>
      <c r="BI52" s="364" t="n">
        <f aca="false">IF(57&lt;5,0,IF(MAX(BD38:BI38)&gt;BI43+3+$B$18,1,0))</f>
        <v>0</v>
      </c>
      <c r="BJ52" s="364" t="n">
        <f aca="false">IF(58&lt;5,0,IF(MAX(BE38:BJ38)&gt;BJ43+3+$B$18,1,0))</f>
        <v>0</v>
      </c>
      <c r="BK52" s="364" t="n">
        <f aca="false">IF(59&lt;5,0,IF(MAX(BF38:BK38)&gt;BK43+3+$B$18,1,0))</f>
        <v>0</v>
      </c>
      <c r="BL52" s="364" t="n">
        <f aca="false">IF(60&lt;5,0,IF(MAX(BG38:BL38)&gt;BL43+3+$B$18,1,0))</f>
        <v>0</v>
      </c>
      <c r="BM52" s="364" t="n">
        <f aca="false">IF(61&lt;5,0,IF(MAX(BH38:BM38)&gt;BM43+3+$B$18,1,0))</f>
        <v>0</v>
      </c>
      <c r="BN52" s="364" t="n">
        <f aca="false">IF(62&lt;5,0,IF(MAX(BI38:BN38)&gt;BN43+3+$B$18,1,0))</f>
        <v>0</v>
      </c>
      <c r="BO52" s="364" t="n">
        <f aca="false">IF(63&lt;5,0,IF(MAX(BJ38:BO38)&gt;BO43+3+$B$18,1,0))</f>
        <v>0</v>
      </c>
      <c r="BP52" s="364" t="n">
        <f aca="false">IF(64&lt;5,0,IF(MAX(BK38:BP38)&gt;BP43+3+$B$18,1,0))</f>
        <v>0</v>
      </c>
      <c r="BQ52" s="364" t="n">
        <f aca="false">IF(65&lt;5,0,IF(MAX(BL38:BQ38)&gt;BQ43+3+$B$18,1,0))</f>
        <v>0</v>
      </c>
      <c r="BR52" s="364" t="n">
        <f aca="false">IF(66&lt;5,0,IF(MAX(BM38:BR38)&gt;BR43+3+$B$18,1,0))</f>
        <v>0</v>
      </c>
      <c r="BS52" s="364" t="n">
        <f aca="false">IF(67&lt;5,0,IF(MAX(BN38:BS38)&gt;BS43+3+$B$18,1,0))</f>
        <v>0</v>
      </c>
      <c r="BT52" s="364" t="n">
        <f aca="false">IF(68&lt;5,0,IF(MAX(BO38:BT38)&gt;BT43+3+$B$18,1,0))</f>
        <v>0</v>
      </c>
      <c r="BU52" s="364" t="n">
        <f aca="false">IF(69&lt;5,0,IF(MAX(BP38:BU38)&gt;BU43+3+$B$18,1,0))</f>
        <v>0</v>
      </c>
      <c r="BV52" s="364" t="n">
        <f aca="false">IF(70&lt;5,0,IF(MAX(BQ38:BV38)&gt;BV43+3+$B$18,1,0))</f>
        <v>0</v>
      </c>
      <c r="BW52" s="364" t="n">
        <f aca="false">IF(71&lt;5,0,IF(MAX(BR38:BW38)&gt;BW43+3+$B$18,1,0))</f>
        <v>0</v>
      </c>
      <c r="BX52" s="364" t="n">
        <f aca="false">IF(72&lt;5,0,IF(MAX(BS38:BX38)&gt;BX43+3+$B$18,1,0))</f>
        <v>0</v>
      </c>
      <c r="BY52" s="364" t="n">
        <f aca="false">IF(73&lt;5,0,IF(MAX(BT38:BY38)&gt;BY43+3+$B$18,1,0))</f>
        <v>0</v>
      </c>
      <c r="BZ52" s="364" t="n">
        <f aca="false">IF(74&lt;5,0,IF(MAX(BU38:BZ38)&gt;BZ43+3+$B$18,1,0))</f>
        <v>0</v>
      </c>
      <c r="CA52" s="364" t="n">
        <f aca="false">IF(75&lt;5,0,IF(MAX(BV38:CA38)&gt;CA43+3+$B$18,1,0))</f>
        <v>0</v>
      </c>
      <c r="CB52" s="364" t="n">
        <f aca="false">IF(76&lt;5,0,IF(MAX(BW38:CB38)&gt;CB43+3+$B$18,1,0))</f>
        <v>0</v>
      </c>
      <c r="CC52" s="364" t="n">
        <f aca="false">IF(77&lt;5,0,IF(MAX(BX38:CC38)&gt;CC43+3+$B$18,1,0))</f>
        <v>0</v>
      </c>
      <c r="CD52" s="364" t="n">
        <f aca="false">IF(78&lt;5,0,IF(MAX(BY38:CD38)&gt;CD43+3+$B$18,1,0))</f>
        <v>0</v>
      </c>
      <c r="CE52" s="364" t="n">
        <f aca="false">IF(79&lt;5,0,IF(MAX(BZ38:CE38)&gt;CE43+3+$B$18,1,0))</f>
        <v>0</v>
      </c>
      <c r="CF52" s="364" t="n">
        <f aca="false">IF(80&lt;5,0,IF(MAX(CA38:CF38)&gt;CF43+3+$B$18,1,0))</f>
        <v>0</v>
      </c>
      <c r="CG52" s="364" t="n">
        <f aca="false">IF(81&lt;5,0,IF(MAX(CB38:CG38)&gt;CG43+3+$B$18,1,0))</f>
        <v>0</v>
      </c>
      <c r="CH52" s="364" t="n">
        <f aca="false">IF(82&lt;5,0,IF(MAX(CC38:CH38)&gt;CH43+3+$B$18,1,0))</f>
        <v>0</v>
      </c>
      <c r="CI52" s="364" t="n">
        <f aca="false">IF(83&lt;5,0,IF(MAX(CD38:CI38)&gt;CI43+3+$B$18,1,0))</f>
        <v>0</v>
      </c>
      <c r="CJ52" s="364" t="n">
        <f aca="false">IF(84&lt;5,0,IF(MAX(CE38:CJ38)&gt;CJ43+3+$B$18,1,0))</f>
        <v>0</v>
      </c>
      <c r="CK52" s="364" t="n">
        <f aca="false">IF(85&lt;5,0,IF(MAX(CF38:CK38)&gt;CK43+3+$B$18,1,0))</f>
        <v>0</v>
      </c>
      <c r="CL52" s="364" t="n">
        <f aca="false">IF(86&lt;5,0,IF(MAX(CG38:CL38)&gt;CL43+3+$B$18,1,0))</f>
        <v>0</v>
      </c>
      <c r="CM52" s="364" t="n">
        <f aca="false">IF(87&lt;5,0,IF(MAX(CH38:CM38)&gt;CM43+3+$B$18,1,0))</f>
        <v>0</v>
      </c>
      <c r="CN52" s="364" t="n">
        <f aca="false">IF(88&lt;5,0,IF(MAX(CI38:CN38)&gt;CN43+3+$B$18,1,0))</f>
        <v>0</v>
      </c>
      <c r="CO52" s="364" t="n">
        <f aca="false">IF(89&lt;5,0,IF(MAX(CJ38:CO38)&gt;CO43+3+$B$18,1,0))</f>
        <v>0</v>
      </c>
      <c r="CP52" s="364" t="n">
        <f aca="false">IF(90&lt;5,0,IF(MAX(CK38:CP38)&gt;CP43+3+$B$18,1,0))</f>
        <v>0</v>
      </c>
      <c r="CQ52" s="364" t="n">
        <f aca="false">IF(91&lt;5,0,IF(MAX(CL38:CQ38)&gt;CQ43+3+$B$18,1,0))</f>
        <v>0</v>
      </c>
      <c r="CR52" s="364" t="n">
        <f aca="false">IF(92&lt;5,0,IF(MAX(CM38:CR38)&gt;CR43+3+$B$18,1,0))</f>
        <v>0</v>
      </c>
      <c r="CS52" s="364" t="n">
        <f aca="false">IF(93&lt;5,0,IF(MAX(CN38:CS38)&gt;CS43+3+$B$18,1,0))</f>
        <v>0</v>
      </c>
      <c r="CT52" s="364" t="n">
        <f aca="false">IF(94&lt;5,0,IF(MAX(CO38:CT38)&gt;CT43+3+$B$18,1,0))</f>
        <v>0</v>
      </c>
      <c r="CU52" s="364" t="n">
        <f aca="false">IF(95&lt;5,0,IF(MAX(CP38:CU38)&gt;CU43+3+$B$18,1,0))</f>
        <v>0</v>
      </c>
      <c r="CV52" s="364" t="n">
        <f aca="false">IF(96&lt;5,0,IF(MAX(CQ38:CV38)&gt;CV43+3+$B$18,1,0))</f>
        <v>0</v>
      </c>
      <c r="CW52" s="364" t="n">
        <f aca="false">IF(97&lt;5,0,IF(MAX(CR38:CW38)&gt;CW43+3+$B$18,1,0))</f>
        <v>0</v>
      </c>
      <c r="CX52" s="364" t="n">
        <f aca="false">IF(98&lt;5,0,IF(MAX(CS38:CX38)&gt;CX43+3+$B$18,1,0))</f>
        <v>0</v>
      </c>
      <c r="CY52" s="364" t="n">
        <f aca="false">IF(99&lt;5,0,IF(MAX(CT38:CY38)&gt;CY43+3+$B$18,1,0))</f>
        <v>0</v>
      </c>
      <c r="CZ52" s="364" t="n">
        <f aca="false">IF(100&lt;5,0,IF(MAX(CU38:CZ38)&gt;CZ43+3+$B$18,1,0))</f>
        <v>0</v>
      </c>
      <c r="DA52" s="364" t="n">
        <f aca="false">IF(101&lt;5,0,IF(MAX(CV38:DA38)&gt;DA43+3+$B$18,1,0))</f>
        <v>0</v>
      </c>
      <c r="DB52" s="364" t="n">
        <f aca="false">IF(102&lt;5,0,IF(MAX(CW38:DB38)&gt;DB43+3+$B$18,1,0))</f>
        <v>0</v>
      </c>
      <c r="DC52" s="364" t="n">
        <f aca="false">IF(103&lt;5,0,IF(MAX(CX38:DC38)&gt;DC43+3+$B$18,1,0))</f>
        <v>0</v>
      </c>
      <c r="DD52" s="364" t="n">
        <f aca="false">IF(104&lt;5,0,IF(MAX(CY38:DD38)&gt;DD43+3+$B$18,1,0))</f>
        <v>0</v>
      </c>
      <c r="DE52" s="364" t="n">
        <f aca="false">IF(105&lt;5,0,IF(MAX(CZ38:DE38)&gt;DE43+3+$B$18,1,0))</f>
        <v>0</v>
      </c>
    </row>
    <row r="53" customFormat="false" ht="13.5" hidden="false" customHeight="true" outlineLevel="0" collapsed="false">
      <c r="A53" s="109" t="s">
        <v>1221</v>
      </c>
      <c r="B53" s="223" t="n">
        <f aca="false">$B$26</f>
        <v>160000</v>
      </c>
      <c r="E53" s="364" t="n">
        <f aca="false">IF(1&lt;5,0,IF(MAX(E38)&gt;E43+4+$B$18,1,0))</f>
        <v>0</v>
      </c>
      <c r="F53" s="364" t="n">
        <f aca="false">IF(2&lt;5,0,IF(MAX(E38:F38)&gt;F43+4+$B$18,1,0))</f>
        <v>0</v>
      </c>
      <c r="G53" s="364" t="n">
        <f aca="false">IF(3&lt;5,0,IF(MAX(E38:G38)&gt;G43+4+$B$18,1,0))</f>
        <v>0</v>
      </c>
      <c r="H53" s="364" t="n">
        <f aca="false">IF(4&lt;5,0,IF(MAX(E38:H38)&gt;H43+4+$B$18,1,0))</f>
        <v>0</v>
      </c>
      <c r="I53" s="364" t="n">
        <f aca="false">IF(5&lt;5,0,IF(MAX(E38:I38)&gt;I43+4+$B$18,1,0))</f>
        <v>0</v>
      </c>
      <c r="J53" s="364" t="n">
        <f aca="false">IF(6&lt;5,0,IF(MAX(E38:J38)&gt;J43+4+$B$18,1,0))</f>
        <v>0</v>
      </c>
      <c r="K53" s="364" t="n">
        <f aca="false">IF(7&lt;5,0,IF(MAX(F38:K38)&gt;K43+4+$B$18,1,0))</f>
        <v>0</v>
      </c>
      <c r="L53" s="364" t="n">
        <f aca="false">IF(8&lt;5,0,IF(MAX(G38:L38)&gt;L43+4+$B$18,1,0))</f>
        <v>0</v>
      </c>
      <c r="M53" s="364" t="n">
        <f aca="false">IF(9&lt;5,0,IF(MAX(H38:M38)&gt;M43+4+$B$18,1,0))</f>
        <v>0</v>
      </c>
      <c r="N53" s="364" t="n">
        <f aca="false">IF(10&lt;5,0,IF(MAX(I38:N38)&gt;N43+4+$B$18,1,0))</f>
        <v>0</v>
      </c>
      <c r="O53" s="364" t="n">
        <f aca="false">IF(11&lt;5,0,IF(MAX(J38:O38)&gt;O43+4+$B$18,1,0))</f>
        <v>0</v>
      </c>
      <c r="P53" s="364" t="n">
        <f aca="false">IF(12&lt;5,0,IF(MAX(K38:P38)&gt;P43+4+$B$18,1,0))</f>
        <v>0</v>
      </c>
      <c r="Q53" s="364" t="n">
        <f aca="false">IF(13&lt;5,0,IF(MAX(L38:Q38)&gt;Q43+4+$B$18,1,0))</f>
        <v>0</v>
      </c>
      <c r="R53" s="364" t="n">
        <f aca="false">IF(14&lt;5,0,IF(MAX(M38:R38)&gt;R43+4+$B$18,1,0))</f>
        <v>0</v>
      </c>
      <c r="S53" s="364" t="n">
        <f aca="false">IF(15&lt;5,0,IF(MAX(N38:S38)&gt;S43+4+$B$18,1,0))</f>
        <v>0</v>
      </c>
      <c r="T53" s="364" t="n">
        <f aca="false">IF(16&lt;5,0,IF(MAX(O38:T38)&gt;T43+4+$B$18,1,0))</f>
        <v>0</v>
      </c>
      <c r="U53" s="364" t="n">
        <f aca="false">IF(17&lt;5,0,IF(MAX(P38:U38)&gt;U43+4+$B$18,1,0))</f>
        <v>0</v>
      </c>
      <c r="V53" s="364" t="n">
        <f aca="false">IF(18&lt;5,0,IF(MAX(Q38:V38)&gt;V43+4+$B$18,1,0))</f>
        <v>0</v>
      </c>
      <c r="W53" s="364" t="n">
        <f aca="false">IF(19&lt;5,0,IF(MAX(R38:W38)&gt;W43+4+$B$18,1,0))</f>
        <v>0</v>
      </c>
      <c r="X53" s="364" t="n">
        <f aca="false">IF(20&lt;5,0,IF(MAX(S38:X38)&gt;X43+4+$B$18,1,0))</f>
        <v>0</v>
      </c>
      <c r="Y53" s="364" t="n">
        <f aca="false">IF(21&lt;5,0,IF(MAX(T38:Y38)&gt;Y43+4+$B$18,1,0))</f>
        <v>0</v>
      </c>
      <c r="Z53" s="364" t="n">
        <f aca="false">IF(22&lt;5,0,IF(MAX(U38:Z38)&gt;Z43+4+$B$18,1,0))</f>
        <v>0</v>
      </c>
      <c r="AA53" s="364" t="n">
        <f aca="false">IF(23&lt;5,0,IF(MAX(V38:AA38)&gt;AA43+4+$B$18,1,0))</f>
        <v>0</v>
      </c>
      <c r="AB53" s="364" t="n">
        <f aca="false">IF(24&lt;5,0,IF(MAX(W38:AB38)&gt;AB43+4+$B$18,1,0))</f>
        <v>0</v>
      </c>
      <c r="AC53" s="364" t="n">
        <f aca="false">IF(25&lt;5,0,IF(MAX(X38:AC38)&gt;AC43+4+$B$18,1,0))</f>
        <v>0</v>
      </c>
      <c r="AD53" s="364" t="n">
        <f aca="false">IF(26&lt;5,0,IF(MAX(Y38:AD38)&gt;AD43+4+$B$18,1,0))</f>
        <v>0</v>
      </c>
      <c r="AE53" s="364" t="n">
        <f aca="false">IF(27&lt;5,0,IF(MAX(Z38:AE38)&gt;AE43+4+$B$18,1,0))</f>
        <v>0</v>
      </c>
      <c r="AF53" s="364" t="n">
        <f aca="false">IF(28&lt;5,0,IF(MAX(AA38:AF38)&gt;AF43+4+$B$18,1,0))</f>
        <v>0</v>
      </c>
      <c r="AG53" s="364" t="n">
        <f aca="false">IF(29&lt;5,0,IF(MAX(AB38:AG38)&gt;AG43+4+$B$18,1,0))</f>
        <v>0</v>
      </c>
      <c r="AH53" s="364" t="n">
        <f aca="false">IF(30&lt;5,0,IF(MAX(AC38:AH38)&gt;AH43+4+$B$18,1,0))</f>
        <v>0</v>
      </c>
      <c r="AI53" s="364" t="n">
        <f aca="false">IF(31&lt;5,0,IF(MAX(AD38:AI38)&gt;AI43+4+$B$18,1,0))</f>
        <v>0</v>
      </c>
      <c r="AJ53" s="364" t="n">
        <f aca="false">IF(32&lt;5,0,IF(MAX(AE38:AJ38)&gt;AJ43+4+$B$18,1,0))</f>
        <v>0</v>
      </c>
      <c r="AK53" s="364" t="n">
        <f aca="false">IF(33&lt;5,0,IF(MAX(AF38:AK38)&gt;AK43+4+$B$18,1,0))</f>
        <v>0</v>
      </c>
      <c r="AL53" s="364" t="n">
        <f aca="false">IF(34&lt;5,0,IF(MAX(AG38:AL38)&gt;AL43+4+$B$18,1,0))</f>
        <v>0</v>
      </c>
      <c r="AM53" s="364" t="n">
        <f aca="false">IF(35&lt;5,0,IF(MAX(AH38:AM38)&gt;AM43+4+$B$18,1,0))</f>
        <v>0</v>
      </c>
      <c r="AN53" s="364" t="n">
        <f aca="false">IF(36&lt;5,0,IF(MAX(AI38:AN38)&gt;AN43+4+$B$18,1,0))</f>
        <v>0</v>
      </c>
      <c r="AO53" s="364" t="n">
        <f aca="false">IF(37&lt;5,0,IF(MAX(AJ38:AO38)&gt;AO43+4+$B$18,1,0))</f>
        <v>0</v>
      </c>
      <c r="AP53" s="364" t="n">
        <f aca="false">IF(38&lt;5,0,IF(MAX(AK38:AP38)&gt;AP43+4+$B$18,1,0))</f>
        <v>0</v>
      </c>
      <c r="AQ53" s="364" t="n">
        <f aca="false">IF(39&lt;5,0,IF(MAX(AL38:AQ38)&gt;AQ43+4+$B$18,1,0))</f>
        <v>0</v>
      </c>
      <c r="AR53" s="364" t="n">
        <f aca="false">IF(40&lt;5,0,IF(MAX(AM38:AR38)&gt;AR43+4+$B$18,1,0))</f>
        <v>0</v>
      </c>
      <c r="AS53" s="364" t="n">
        <f aca="false">IF(41&lt;5,0,IF(MAX(AN38:AS38)&gt;AS43+4+$B$18,1,0))</f>
        <v>0</v>
      </c>
      <c r="AT53" s="364" t="n">
        <f aca="false">IF(42&lt;5,0,IF(MAX(AO38:AT38)&gt;AT43+4+$B$18,1,0))</f>
        <v>0</v>
      </c>
      <c r="AU53" s="364" t="n">
        <f aca="false">IF(43&lt;5,0,IF(MAX(AP38:AU38)&gt;AU43+4+$B$18,1,0))</f>
        <v>0</v>
      </c>
      <c r="AV53" s="364" t="n">
        <f aca="false">IF(44&lt;5,0,IF(MAX(AQ38:AV38)&gt;AV43+4+$B$18,1,0))</f>
        <v>0</v>
      </c>
      <c r="AW53" s="364" t="n">
        <f aca="false">IF(45&lt;5,0,IF(MAX(AR38:AW38)&gt;AW43+4+$B$18,1,0))</f>
        <v>0</v>
      </c>
      <c r="AX53" s="364" t="n">
        <f aca="false">IF(46&lt;5,0,IF(MAX(AS38:AX38)&gt;AX43+4+$B$18,1,0))</f>
        <v>0</v>
      </c>
      <c r="AY53" s="364" t="n">
        <f aca="false">IF(47&lt;5,0,IF(MAX(AT38:AY38)&gt;AY43+4+$B$18,1,0))</f>
        <v>0</v>
      </c>
      <c r="AZ53" s="364" t="n">
        <f aca="false">IF(48&lt;5,0,IF(MAX(AU38:AZ38)&gt;AZ43+4+$B$18,1,0))</f>
        <v>0</v>
      </c>
      <c r="BA53" s="364" t="n">
        <f aca="false">IF(49&lt;5,0,IF(MAX(AV38:BA38)&gt;BA43+4+$B$18,1,0))</f>
        <v>0</v>
      </c>
      <c r="BB53" s="364" t="n">
        <f aca="false">IF(50&lt;5,0,IF(MAX(AW38:BB38)&gt;BB43+4+$B$18,1,0))</f>
        <v>0</v>
      </c>
      <c r="BC53" s="364" t="n">
        <f aca="false">IF(51&lt;5,0,IF(MAX(AX38:BC38)&gt;BC43+4+$B$18,1,0))</f>
        <v>0</v>
      </c>
      <c r="BD53" s="364" t="n">
        <f aca="false">IF(52&lt;5,0,IF(MAX(AY38:BD38)&gt;BD43+4+$B$18,1,0))</f>
        <v>0</v>
      </c>
      <c r="BE53" s="364" t="n">
        <f aca="false">IF(53&lt;5,0,IF(MAX(AZ38:BE38)&gt;BE43+4+$B$18,1,0))</f>
        <v>0</v>
      </c>
      <c r="BF53" s="364" t="n">
        <f aca="false">IF(54&lt;5,0,IF(MAX(BA38:BF38)&gt;BF43+4+$B$18,1,0))</f>
        <v>0</v>
      </c>
      <c r="BG53" s="364" t="n">
        <f aca="false">IF(55&lt;5,0,IF(MAX(BB38:BG38)&gt;BG43+4+$B$18,1,0))</f>
        <v>0</v>
      </c>
      <c r="BH53" s="364" t="n">
        <f aca="false">IF(56&lt;5,0,IF(MAX(BC38:BH38)&gt;BH43+4+$B$18,1,0))</f>
        <v>0</v>
      </c>
      <c r="BI53" s="364" t="n">
        <f aca="false">IF(57&lt;5,0,IF(MAX(BD38:BI38)&gt;BI43+4+$B$18,1,0))</f>
        <v>0</v>
      </c>
      <c r="BJ53" s="364" t="n">
        <f aca="false">IF(58&lt;5,0,IF(MAX(BE38:BJ38)&gt;BJ43+4+$B$18,1,0))</f>
        <v>0</v>
      </c>
      <c r="BK53" s="364" t="n">
        <f aca="false">IF(59&lt;5,0,IF(MAX(BF38:BK38)&gt;BK43+4+$B$18,1,0))</f>
        <v>0</v>
      </c>
      <c r="BL53" s="364" t="n">
        <f aca="false">IF(60&lt;5,0,IF(MAX(BG38:BL38)&gt;BL43+4+$B$18,1,0))</f>
        <v>0</v>
      </c>
      <c r="BM53" s="364" t="n">
        <f aca="false">IF(61&lt;5,0,IF(MAX(BH38:BM38)&gt;BM43+4+$B$18,1,0))</f>
        <v>0</v>
      </c>
      <c r="BN53" s="364" t="n">
        <f aca="false">IF(62&lt;5,0,IF(MAX(BI38:BN38)&gt;BN43+4+$B$18,1,0))</f>
        <v>0</v>
      </c>
      <c r="BO53" s="364" t="n">
        <f aca="false">IF(63&lt;5,0,IF(MAX(BJ38:BO38)&gt;BO43+4+$B$18,1,0))</f>
        <v>0</v>
      </c>
      <c r="BP53" s="364" t="n">
        <f aca="false">IF(64&lt;5,0,IF(MAX(BK38:BP38)&gt;BP43+4+$B$18,1,0))</f>
        <v>0</v>
      </c>
      <c r="BQ53" s="364" t="n">
        <f aca="false">IF(65&lt;5,0,IF(MAX(BL38:BQ38)&gt;BQ43+4+$B$18,1,0))</f>
        <v>0</v>
      </c>
      <c r="BR53" s="364" t="n">
        <f aca="false">IF(66&lt;5,0,IF(MAX(BM38:BR38)&gt;BR43+4+$B$18,1,0))</f>
        <v>0</v>
      </c>
      <c r="BS53" s="364" t="n">
        <f aca="false">IF(67&lt;5,0,IF(MAX(BN38:BS38)&gt;BS43+4+$B$18,1,0))</f>
        <v>0</v>
      </c>
      <c r="BT53" s="364" t="n">
        <f aca="false">IF(68&lt;5,0,IF(MAX(BO38:BT38)&gt;BT43+4+$B$18,1,0))</f>
        <v>0</v>
      </c>
      <c r="BU53" s="364" t="n">
        <f aca="false">IF(69&lt;5,0,IF(MAX(BP38:BU38)&gt;BU43+4+$B$18,1,0))</f>
        <v>0</v>
      </c>
      <c r="BV53" s="364" t="n">
        <f aca="false">IF(70&lt;5,0,IF(MAX(BQ38:BV38)&gt;BV43+4+$B$18,1,0))</f>
        <v>0</v>
      </c>
      <c r="BW53" s="364" t="n">
        <f aca="false">IF(71&lt;5,0,IF(MAX(BR38:BW38)&gt;BW43+4+$B$18,1,0))</f>
        <v>0</v>
      </c>
      <c r="BX53" s="364" t="n">
        <f aca="false">IF(72&lt;5,0,IF(MAX(BS38:BX38)&gt;BX43+4+$B$18,1,0))</f>
        <v>0</v>
      </c>
      <c r="BY53" s="364" t="n">
        <f aca="false">IF(73&lt;5,0,IF(MAX(BT38:BY38)&gt;BY43+4+$B$18,1,0))</f>
        <v>0</v>
      </c>
      <c r="BZ53" s="364" t="n">
        <f aca="false">IF(74&lt;5,0,IF(MAX(BU38:BZ38)&gt;BZ43+4+$B$18,1,0))</f>
        <v>0</v>
      </c>
      <c r="CA53" s="364" t="n">
        <f aca="false">IF(75&lt;5,0,IF(MAX(BV38:CA38)&gt;CA43+4+$B$18,1,0))</f>
        <v>0</v>
      </c>
      <c r="CB53" s="364" t="n">
        <f aca="false">IF(76&lt;5,0,IF(MAX(BW38:CB38)&gt;CB43+4+$B$18,1,0))</f>
        <v>0</v>
      </c>
      <c r="CC53" s="364" t="n">
        <f aca="false">IF(77&lt;5,0,IF(MAX(BX38:CC38)&gt;CC43+4+$B$18,1,0))</f>
        <v>0</v>
      </c>
      <c r="CD53" s="364" t="n">
        <f aca="false">IF(78&lt;5,0,IF(MAX(BY38:CD38)&gt;CD43+4+$B$18,1,0))</f>
        <v>0</v>
      </c>
      <c r="CE53" s="364" t="n">
        <f aca="false">IF(79&lt;5,0,IF(MAX(BZ38:CE38)&gt;CE43+4+$B$18,1,0))</f>
        <v>0</v>
      </c>
      <c r="CF53" s="364" t="n">
        <f aca="false">IF(80&lt;5,0,IF(MAX(CA38:CF38)&gt;CF43+4+$B$18,1,0))</f>
        <v>0</v>
      </c>
      <c r="CG53" s="364" t="n">
        <f aca="false">IF(81&lt;5,0,IF(MAX(CB38:CG38)&gt;CG43+4+$B$18,1,0))</f>
        <v>0</v>
      </c>
      <c r="CH53" s="364" t="n">
        <f aca="false">IF(82&lt;5,0,IF(MAX(CC38:CH38)&gt;CH43+4+$B$18,1,0))</f>
        <v>0</v>
      </c>
      <c r="CI53" s="364" t="n">
        <f aca="false">IF(83&lt;5,0,IF(MAX(CD38:CI38)&gt;CI43+4+$B$18,1,0))</f>
        <v>0</v>
      </c>
      <c r="CJ53" s="364" t="n">
        <f aca="false">IF(84&lt;5,0,IF(MAX(CE38:CJ38)&gt;CJ43+4+$B$18,1,0))</f>
        <v>0</v>
      </c>
      <c r="CK53" s="364" t="n">
        <f aca="false">IF(85&lt;5,0,IF(MAX(CF38:CK38)&gt;CK43+4+$B$18,1,0))</f>
        <v>0</v>
      </c>
      <c r="CL53" s="364" t="n">
        <f aca="false">IF(86&lt;5,0,IF(MAX(CG38:CL38)&gt;CL43+4+$B$18,1,0))</f>
        <v>0</v>
      </c>
      <c r="CM53" s="364" t="n">
        <f aca="false">IF(87&lt;5,0,IF(MAX(CH38:CM38)&gt;CM43+4+$B$18,1,0))</f>
        <v>0</v>
      </c>
      <c r="CN53" s="364" t="n">
        <f aca="false">IF(88&lt;5,0,IF(MAX(CI38:CN38)&gt;CN43+4+$B$18,1,0))</f>
        <v>0</v>
      </c>
      <c r="CO53" s="364" t="n">
        <f aca="false">IF(89&lt;5,0,IF(MAX(CJ38:CO38)&gt;CO43+4+$B$18,1,0))</f>
        <v>0</v>
      </c>
      <c r="CP53" s="364" t="n">
        <f aca="false">IF(90&lt;5,0,IF(MAX(CK38:CP38)&gt;CP43+4+$B$18,1,0))</f>
        <v>0</v>
      </c>
      <c r="CQ53" s="364" t="n">
        <f aca="false">IF(91&lt;5,0,IF(MAX(CL38:CQ38)&gt;CQ43+4+$B$18,1,0))</f>
        <v>0</v>
      </c>
      <c r="CR53" s="364" t="n">
        <f aca="false">IF(92&lt;5,0,IF(MAX(CM38:CR38)&gt;CR43+4+$B$18,1,0))</f>
        <v>0</v>
      </c>
      <c r="CS53" s="364" t="n">
        <f aca="false">IF(93&lt;5,0,IF(MAX(CN38:CS38)&gt;CS43+4+$B$18,1,0))</f>
        <v>0</v>
      </c>
      <c r="CT53" s="364" t="n">
        <f aca="false">IF(94&lt;5,0,IF(MAX(CO38:CT38)&gt;CT43+4+$B$18,1,0))</f>
        <v>0</v>
      </c>
      <c r="CU53" s="364" t="n">
        <f aca="false">IF(95&lt;5,0,IF(MAX(CP38:CU38)&gt;CU43+4+$B$18,1,0))</f>
        <v>0</v>
      </c>
      <c r="CV53" s="364" t="n">
        <f aca="false">IF(96&lt;5,0,IF(MAX(CQ38:CV38)&gt;CV43+4+$B$18,1,0))</f>
        <v>0</v>
      </c>
      <c r="CW53" s="364" t="n">
        <f aca="false">IF(97&lt;5,0,IF(MAX(CR38:CW38)&gt;CW43+4+$B$18,1,0))</f>
        <v>0</v>
      </c>
      <c r="CX53" s="364" t="n">
        <f aca="false">IF(98&lt;5,0,IF(MAX(CS38:CX38)&gt;CX43+4+$B$18,1,0))</f>
        <v>0</v>
      </c>
      <c r="CY53" s="364" t="n">
        <f aca="false">IF(99&lt;5,0,IF(MAX(CT38:CY38)&gt;CY43+4+$B$18,1,0))</f>
        <v>0</v>
      </c>
      <c r="CZ53" s="364" t="n">
        <f aca="false">IF(100&lt;5,0,IF(MAX(CU38:CZ38)&gt;CZ43+4+$B$18,1,0))</f>
        <v>0</v>
      </c>
      <c r="DA53" s="364" t="n">
        <f aca="false">IF(101&lt;5,0,IF(MAX(CV38:DA38)&gt;DA43+4+$B$18,1,0))</f>
        <v>0</v>
      </c>
      <c r="DB53" s="364" t="n">
        <f aca="false">IF(102&lt;5,0,IF(MAX(CW38:DB38)&gt;DB43+4+$B$18,1,0))</f>
        <v>0</v>
      </c>
      <c r="DC53" s="364" t="n">
        <f aca="false">IF(103&lt;5,0,IF(MAX(CX38:DC38)&gt;DC43+4+$B$18,1,0))</f>
        <v>0</v>
      </c>
      <c r="DD53" s="364" t="n">
        <f aca="false">IF(104&lt;5,0,IF(MAX(CY38:DD38)&gt;DD43+4+$B$18,1,0))</f>
        <v>0</v>
      </c>
      <c r="DE53" s="364" t="n">
        <f aca="false">IF(105&lt;5,0,IF(MAX(CZ38:DE38)&gt;DE43+4+$B$18,1,0))</f>
        <v>0</v>
      </c>
    </row>
    <row r="54" customFormat="false" ht="13.5" hidden="false" customHeight="true" outlineLevel="0" collapsed="false">
      <c r="A54" s="109" t="s">
        <v>1222</v>
      </c>
      <c r="B54" s="223" t="n">
        <f aca="false">$B$26</f>
        <v>160000</v>
      </c>
      <c r="E54" s="364" t="n">
        <f aca="false">IF(1&lt;5,0,IF(MAX(E38)&gt;E43+5+$B$18,1,0))</f>
        <v>0</v>
      </c>
      <c r="F54" s="364" t="n">
        <f aca="false">IF(2&lt;5,0,IF(MAX(E38:F38)&gt;F43+5+$B$18,1,0))</f>
        <v>0</v>
      </c>
      <c r="G54" s="364" t="n">
        <f aca="false">IF(3&lt;5,0,IF(MAX(E38:G38)&gt;G43+5+$B$18,1,0))</f>
        <v>0</v>
      </c>
      <c r="H54" s="364" t="n">
        <f aca="false">IF(4&lt;5,0,IF(MAX(E38:H38)&gt;H43+5+$B$18,1,0))</f>
        <v>0</v>
      </c>
      <c r="I54" s="364" t="n">
        <f aca="false">IF(5&lt;5,0,IF(MAX(E38:I38)&gt;I43+5+$B$18,1,0))</f>
        <v>0</v>
      </c>
      <c r="J54" s="364" t="n">
        <f aca="false">IF(6&lt;5,0,IF(MAX(E38:J38)&gt;J43+5+$B$18,1,0))</f>
        <v>0</v>
      </c>
      <c r="K54" s="364" t="n">
        <f aca="false">IF(7&lt;5,0,IF(MAX(F38:K38)&gt;K43+5+$B$18,1,0))</f>
        <v>0</v>
      </c>
      <c r="L54" s="364" t="n">
        <f aca="false">IF(8&lt;5,0,IF(MAX(G38:L38)&gt;L43+5+$B$18,1,0))</f>
        <v>0</v>
      </c>
      <c r="M54" s="364" t="n">
        <f aca="false">IF(9&lt;5,0,IF(MAX(H38:M38)&gt;M43+5+$B$18,1,0))</f>
        <v>0</v>
      </c>
      <c r="N54" s="364" t="n">
        <f aca="false">IF(10&lt;5,0,IF(MAX(I38:N38)&gt;N43+5+$B$18,1,0))</f>
        <v>0</v>
      </c>
      <c r="O54" s="364" t="n">
        <f aca="false">IF(11&lt;5,0,IF(MAX(J38:O38)&gt;O43+5+$B$18,1,0))</f>
        <v>0</v>
      </c>
      <c r="P54" s="364" t="n">
        <f aca="false">IF(12&lt;5,0,IF(MAX(K38:P38)&gt;P43+5+$B$18,1,0))</f>
        <v>0</v>
      </c>
      <c r="Q54" s="364" t="n">
        <f aca="false">IF(13&lt;5,0,IF(MAX(L38:Q38)&gt;Q43+5+$B$18,1,0))</f>
        <v>0</v>
      </c>
      <c r="R54" s="364" t="n">
        <f aca="false">IF(14&lt;5,0,IF(MAX(M38:R38)&gt;R43+5+$B$18,1,0))</f>
        <v>0</v>
      </c>
      <c r="S54" s="364" t="n">
        <f aca="false">IF(15&lt;5,0,IF(MAX(N38:S38)&gt;S43+5+$B$18,1,0))</f>
        <v>0</v>
      </c>
      <c r="T54" s="364" t="n">
        <f aca="false">IF(16&lt;5,0,IF(MAX(O38:T38)&gt;T43+5+$B$18,1,0))</f>
        <v>0</v>
      </c>
      <c r="U54" s="364" t="n">
        <f aca="false">IF(17&lt;5,0,IF(MAX(P38:U38)&gt;U43+5+$B$18,1,0))</f>
        <v>0</v>
      </c>
      <c r="V54" s="364" t="n">
        <f aca="false">IF(18&lt;5,0,IF(MAX(Q38:V38)&gt;V43+5+$B$18,1,0))</f>
        <v>0</v>
      </c>
      <c r="W54" s="364" t="n">
        <f aca="false">IF(19&lt;5,0,IF(MAX(R38:W38)&gt;W43+5+$B$18,1,0))</f>
        <v>0</v>
      </c>
      <c r="X54" s="364" t="n">
        <f aca="false">IF(20&lt;5,0,IF(MAX(S38:X38)&gt;X43+5+$B$18,1,0))</f>
        <v>0</v>
      </c>
      <c r="Y54" s="364" t="n">
        <f aca="false">IF(21&lt;5,0,IF(MAX(T38:Y38)&gt;Y43+5+$B$18,1,0))</f>
        <v>0</v>
      </c>
      <c r="Z54" s="364" t="n">
        <f aca="false">IF(22&lt;5,0,IF(MAX(U38:Z38)&gt;Z43+5+$B$18,1,0))</f>
        <v>0</v>
      </c>
      <c r="AA54" s="364" t="n">
        <f aca="false">IF(23&lt;5,0,IF(MAX(V38:AA38)&gt;AA43+5+$B$18,1,0))</f>
        <v>0</v>
      </c>
      <c r="AB54" s="364" t="n">
        <f aca="false">IF(24&lt;5,0,IF(MAX(W38:AB38)&gt;AB43+5+$B$18,1,0))</f>
        <v>0</v>
      </c>
      <c r="AC54" s="364" t="n">
        <f aca="false">IF(25&lt;5,0,IF(MAX(X38:AC38)&gt;AC43+5+$B$18,1,0))</f>
        <v>0</v>
      </c>
      <c r="AD54" s="364" t="n">
        <f aca="false">IF(26&lt;5,0,IF(MAX(Y38:AD38)&gt;AD43+5+$B$18,1,0))</f>
        <v>0</v>
      </c>
      <c r="AE54" s="364" t="n">
        <f aca="false">IF(27&lt;5,0,IF(MAX(Z38:AE38)&gt;AE43+5+$B$18,1,0))</f>
        <v>0</v>
      </c>
      <c r="AF54" s="364" t="n">
        <f aca="false">IF(28&lt;5,0,IF(MAX(AA38:AF38)&gt;AF43+5+$B$18,1,0))</f>
        <v>0</v>
      </c>
      <c r="AG54" s="364" t="n">
        <f aca="false">IF(29&lt;5,0,IF(MAX(AB38:AG38)&gt;AG43+5+$B$18,1,0))</f>
        <v>0</v>
      </c>
      <c r="AH54" s="364" t="n">
        <f aca="false">IF(30&lt;5,0,IF(MAX(AC38:AH38)&gt;AH43+5+$B$18,1,0))</f>
        <v>0</v>
      </c>
      <c r="AI54" s="364" t="n">
        <f aca="false">IF(31&lt;5,0,IF(MAX(AD38:AI38)&gt;AI43+5+$B$18,1,0))</f>
        <v>0</v>
      </c>
      <c r="AJ54" s="364" t="n">
        <f aca="false">IF(32&lt;5,0,IF(MAX(AE38:AJ38)&gt;AJ43+5+$B$18,1,0))</f>
        <v>0</v>
      </c>
      <c r="AK54" s="364" t="n">
        <f aca="false">IF(33&lt;5,0,IF(MAX(AF38:AK38)&gt;AK43+5+$B$18,1,0))</f>
        <v>0</v>
      </c>
      <c r="AL54" s="364" t="n">
        <f aca="false">IF(34&lt;5,0,IF(MAX(AG38:AL38)&gt;AL43+5+$B$18,1,0))</f>
        <v>0</v>
      </c>
      <c r="AM54" s="364" t="n">
        <f aca="false">IF(35&lt;5,0,IF(MAX(AH38:AM38)&gt;AM43+5+$B$18,1,0))</f>
        <v>0</v>
      </c>
      <c r="AN54" s="364" t="n">
        <f aca="false">IF(36&lt;5,0,IF(MAX(AI38:AN38)&gt;AN43+5+$B$18,1,0))</f>
        <v>0</v>
      </c>
      <c r="AO54" s="364" t="n">
        <f aca="false">IF(37&lt;5,0,IF(MAX(AJ38:AO38)&gt;AO43+5+$B$18,1,0))</f>
        <v>0</v>
      </c>
      <c r="AP54" s="364" t="n">
        <f aca="false">IF(38&lt;5,0,IF(MAX(AK38:AP38)&gt;AP43+5+$B$18,1,0))</f>
        <v>0</v>
      </c>
      <c r="AQ54" s="364" t="n">
        <f aca="false">IF(39&lt;5,0,IF(MAX(AL38:AQ38)&gt;AQ43+5+$B$18,1,0))</f>
        <v>0</v>
      </c>
      <c r="AR54" s="364" t="n">
        <f aca="false">IF(40&lt;5,0,IF(MAX(AM38:AR38)&gt;AR43+5+$B$18,1,0))</f>
        <v>0</v>
      </c>
      <c r="AS54" s="364" t="n">
        <f aca="false">IF(41&lt;5,0,IF(MAX(AN38:AS38)&gt;AS43+5+$B$18,1,0))</f>
        <v>0</v>
      </c>
      <c r="AT54" s="364" t="n">
        <f aca="false">IF(42&lt;5,0,IF(MAX(AO38:AT38)&gt;AT43+5+$B$18,1,0))</f>
        <v>0</v>
      </c>
      <c r="AU54" s="364" t="n">
        <f aca="false">IF(43&lt;5,0,IF(MAX(AP38:AU38)&gt;AU43+5+$B$18,1,0))</f>
        <v>0</v>
      </c>
      <c r="AV54" s="364" t="n">
        <f aca="false">IF(44&lt;5,0,IF(MAX(AQ38:AV38)&gt;AV43+5+$B$18,1,0))</f>
        <v>0</v>
      </c>
      <c r="AW54" s="364" t="n">
        <f aca="false">IF(45&lt;5,0,IF(MAX(AR38:AW38)&gt;AW43+5+$B$18,1,0))</f>
        <v>0</v>
      </c>
      <c r="AX54" s="364" t="n">
        <f aca="false">IF(46&lt;5,0,IF(MAX(AS38:AX38)&gt;AX43+5+$B$18,1,0))</f>
        <v>0</v>
      </c>
      <c r="AY54" s="364" t="n">
        <f aca="false">IF(47&lt;5,0,IF(MAX(AT38:AY38)&gt;AY43+5+$B$18,1,0))</f>
        <v>0</v>
      </c>
      <c r="AZ54" s="364" t="n">
        <f aca="false">IF(48&lt;5,0,IF(MAX(AU38:AZ38)&gt;AZ43+5+$B$18,1,0))</f>
        <v>0</v>
      </c>
      <c r="BA54" s="364" t="n">
        <f aca="false">IF(49&lt;5,0,IF(MAX(AV38:BA38)&gt;BA43+5+$B$18,1,0))</f>
        <v>0</v>
      </c>
      <c r="BB54" s="364" t="n">
        <f aca="false">IF(50&lt;5,0,IF(MAX(AW38:BB38)&gt;BB43+5+$B$18,1,0))</f>
        <v>0</v>
      </c>
      <c r="BC54" s="364" t="n">
        <f aca="false">IF(51&lt;5,0,IF(MAX(AX38:BC38)&gt;BC43+5+$B$18,1,0))</f>
        <v>0</v>
      </c>
      <c r="BD54" s="364" t="n">
        <f aca="false">IF(52&lt;5,0,IF(MAX(AY38:BD38)&gt;BD43+5+$B$18,1,0))</f>
        <v>0</v>
      </c>
      <c r="BE54" s="364" t="n">
        <f aca="false">IF(53&lt;5,0,IF(MAX(AZ38:BE38)&gt;BE43+5+$B$18,1,0))</f>
        <v>0</v>
      </c>
      <c r="BF54" s="364" t="n">
        <f aca="false">IF(54&lt;5,0,IF(MAX(BA38:BF38)&gt;BF43+5+$B$18,1,0))</f>
        <v>0</v>
      </c>
      <c r="BG54" s="364" t="n">
        <f aca="false">IF(55&lt;5,0,IF(MAX(BB38:BG38)&gt;BG43+5+$B$18,1,0))</f>
        <v>0</v>
      </c>
      <c r="BH54" s="364" t="n">
        <f aca="false">IF(56&lt;5,0,IF(MAX(BC38:BH38)&gt;BH43+5+$B$18,1,0))</f>
        <v>0</v>
      </c>
      <c r="BI54" s="364" t="n">
        <f aca="false">IF(57&lt;5,0,IF(MAX(BD38:BI38)&gt;BI43+5+$B$18,1,0))</f>
        <v>0</v>
      </c>
      <c r="BJ54" s="364" t="n">
        <f aca="false">IF(58&lt;5,0,IF(MAX(BE38:BJ38)&gt;BJ43+5+$B$18,1,0))</f>
        <v>0</v>
      </c>
      <c r="BK54" s="364" t="n">
        <f aca="false">IF(59&lt;5,0,IF(MAX(BF38:BK38)&gt;BK43+5+$B$18,1,0))</f>
        <v>0</v>
      </c>
      <c r="BL54" s="364" t="n">
        <f aca="false">IF(60&lt;5,0,IF(MAX(BG38:BL38)&gt;BL43+5+$B$18,1,0))</f>
        <v>0</v>
      </c>
      <c r="BM54" s="364" t="n">
        <f aca="false">IF(61&lt;5,0,IF(MAX(BH38:BM38)&gt;BM43+5+$B$18,1,0))</f>
        <v>0</v>
      </c>
      <c r="BN54" s="364" t="n">
        <f aca="false">IF(62&lt;5,0,IF(MAX(BI38:BN38)&gt;BN43+5+$B$18,1,0))</f>
        <v>0</v>
      </c>
      <c r="BO54" s="364" t="n">
        <f aca="false">IF(63&lt;5,0,IF(MAX(BJ38:BO38)&gt;BO43+5+$B$18,1,0))</f>
        <v>0</v>
      </c>
      <c r="BP54" s="364" t="n">
        <f aca="false">IF(64&lt;5,0,IF(MAX(BK38:BP38)&gt;BP43+5+$B$18,1,0))</f>
        <v>0</v>
      </c>
      <c r="BQ54" s="364" t="n">
        <f aca="false">IF(65&lt;5,0,IF(MAX(BL38:BQ38)&gt;BQ43+5+$B$18,1,0))</f>
        <v>0</v>
      </c>
      <c r="BR54" s="364" t="n">
        <f aca="false">IF(66&lt;5,0,IF(MAX(BM38:BR38)&gt;BR43+5+$B$18,1,0))</f>
        <v>0</v>
      </c>
      <c r="BS54" s="364" t="n">
        <f aca="false">IF(67&lt;5,0,IF(MAX(BN38:BS38)&gt;BS43+5+$B$18,1,0))</f>
        <v>0</v>
      </c>
      <c r="BT54" s="364" t="n">
        <f aca="false">IF(68&lt;5,0,IF(MAX(BO38:BT38)&gt;BT43+5+$B$18,1,0))</f>
        <v>0</v>
      </c>
      <c r="BU54" s="364" t="n">
        <f aca="false">IF(69&lt;5,0,IF(MAX(BP38:BU38)&gt;BU43+5+$B$18,1,0))</f>
        <v>0</v>
      </c>
      <c r="BV54" s="364" t="n">
        <f aca="false">IF(70&lt;5,0,IF(MAX(BQ38:BV38)&gt;BV43+5+$B$18,1,0))</f>
        <v>0</v>
      </c>
      <c r="BW54" s="364" t="n">
        <f aca="false">IF(71&lt;5,0,IF(MAX(BR38:BW38)&gt;BW43+5+$B$18,1,0))</f>
        <v>0</v>
      </c>
      <c r="BX54" s="364" t="n">
        <f aca="false">IF(72&lt;5,0,IF(MAX(BS38:BX38)&gt;BX43+5+$B$18,1,0))</f>
        <v>0</v>
      </c>
      <c r="BY54" s="364" t="n">
        <f aca="false">IF(73&lt;5,0,IF(MAX(BT38:BY38)&gt;BY43+5+$B$18,1,0))</f>
        <v>0</v>
      </c>
      <c r="BZ54" s="364" t="n">
        <f aca="false">IF(74&lt;5,0,IF(MAX(BU38:BZ38)&gt;BZ43+5+$B$18,1,0))</f>
        <v>0</v>
      </c>
      <c r="CA54" s="364" t="n">
        <f aca="false">IF(75&lt;5,0,IF(MAX(BV38:CA38)&gt;CA43+5+$B$18,1,0))</f>
        <v>0</v>
      </c>
      <c r="CB54" s="364" t="n">
        <f aca="false">IF(76&lt;5,0,IF(MAX(BW38:CB38)&gt;CB43+5+$B$18,1,0))</f>
        <v>0</v>
      </c>
      <c r="CC54" s="364" t="n">
        <f aca="false">IF(77&lt;5,0,IF(MAX(BX38:CC38)&gt;CC43+5+$B$18,1,0))</f>
        <v>0</v>
      </c>
      <c r="CD54" s="364" t="n">
        <f aca="false">IF(78&lt;5,0,IF(MAX(BY38:CD38)&gt;CD43+5+$B$18,1,0))</f>
        <v>0</v>
      </c>
      <c r="CE54" s="364" t="n">
        <f aca="false">IF(79&lt;5,0,IF(MAX(BZ38:CE38)&gt;CE43+5+$B$18,1,0))</f>
        <v>0</v>
      </c>
      <c r="CF54" s="364" t="n">
        <f aca="false">IF(80&lt;5,0,IF(MAX(CA38:CF38)&gt;CF43+5+$B$18,1,0))</f>
        <v>0</v>
      </c>
      <c r="CG54" s="364" t="n">
        <f aca="false">IF(81&lt;5,0,IF(MAX(CB38:CG38)&gt;CG43+5+$B$18,1,0))</f>
        <v>0</v>
      </c>
      <c r="CH54" s="364" t="n">
        <f aca="false">IF(82&lt;5,0,IF(MAX(CC38:CH38)&gt;CH43+5+$B$18,1,0))</f>
        <v>0</v>
      </c>
      <c r="CI54" s="364" t="n">
        <f aca="false">IF(83&lt;5,0,IF(MAX(CD38:CI38)&gt;CI43+5+$B$18,1,0))</f>
        <v>0</v>
      </c>
      <c r="CJ54" s="364" t="n">
        <f aca="false">IF(84&lt;5,0,IF(MAX(CE38:CJ38)&gt;CJ43+5+$B$18,1,0))</f>
        <v>0</v>
      </c>
      <c r="CK54" s="364" t="n">
        <f aca="false">IF(85&lt;5,0,IF(MAX(CF38:CK38)&gt;CK43+5+$B$18,1,0))</f>
        <v>0</v>
      </c>
      <c r="CL54" s="364" t="n">
        <f aca="false">IF(86&lt;5,0,IF(MAX(CG38:CL38)&gt;CL43+5+$B$18,1,0))</f>
        <v>0</v>
      </c>
      <c r="CM54" s="364" t="n">
        <f aca="false">IF(87&lt;5,0,IF(MAX(CH38:CM38)&gt;CM43+5+$B$18,1,0))</f>
        <v>0</v>
      </c>
      <c r="CN54" s="364" t="n">
        <f aca="false">IF(88&lt;5,0,IF(MAX(CI38:CN38)&gt;CN43+5+$B$18,1,0))</f>
        <v>0</v>
      </c>
      <c r="CO54" s="364" t="n">
        <f aca="false">IF(89&lt;5,0,IF(MAX(CJ38:CO38)&gt;CO43+5+$B$18,1,0))</f>
        <v>0</v>
      </c>
      <c r="CP54" s="364" t="n">
        <f aca="false">IF(90&lt;5,0,IF(MAX(CK38:CP38)&gt;CP43+5+$B$18,1,0))</f>
        <v>0</v>
      </c>
      <c r="CQ54" s="364" t="n">
        <f aca="false">IF(91&lt;5,0,IF(MAX(CL38:CQ38)&gt;CQ43+5+$B$18,1,0))</f>
        <v>0</v>
      </c>
      <c r="CR54" s="364" t="n">
        <f aca="false">IF(92&lt;5,0,IF(MAX(CM38:CR38)&gt;CR43+5+$B$18,1,0))</f>
        <v>0</v>
      </c>
      <c r="CS54" s="364" t="n">
        <f aca="false">IF(93&lt;5,0,IF(MAX(CN38:CS38)&gt;CS43+5+$B$18,1,0))</f>
        <v>0</v>
      </c>
      <c r="CT54" s="364" t="n">
        <f aca="false">IF(94&lt;5,0,IF(MAX(CO38:CT38)&gt;CT43+5+$B$18,1,0))</f>
        <v>0</v>
      </c>
      <c r="CU54" s="364" t="n">
        <f aca="false">IF(95&lt;5,0,IF(MAX(CP38:CU38)&gt;CU43+5+$B$18,1,0))</f>
        <v>0</v>
      </c>
      <c r="CV54" s="364" t="n">
        <f aca="false">IF(96&lt;5,0,IF(MAX(CQ38:CV38)&gt;CV43+5+$B$18,1,0))</f>
        <v>0</v>
      </c>
      <c r="CW54" s="364" t="n">
        <f aca="false">IF(97&lt;5,0,IF(MAX(CR38:CW38)&gt;CW43+5+$B$18,1,0))</f>
        <v>0</v>
      </c>
      <c r="CX54" s="364" t="n">
        <f aca="false">IF(98&lt;5,0,IF(MAX(CS38:CX38)&gt;CX43+5+$B$18,1,0))</f>
        <v>0</v>
      </c>
      <c r="CY54" s="364" t="n">
        <f aca="false">IF(99&lt;5,0,IF(MAX(CT38:CY38)&gt;CY43+5+$B$18,1,0))</f>
        <v>0</v>
      </c>
      <c r="CZ54" s="364" t="n">
        <f aca="false">IF(100&lt;5,0,IF(MAX(CU38:CZ38)&gt;CZ43+5+$B$18,1,0))</f>
        <v>0</v>
      </c>
      <c r="DA54" s="364" t="n">
        <f aca="false">IF(101&lt;5,0,IF(MAX(CV38:DA38)&gt;DA43+5+$B$18,1,0))</f>
        <v>0</v>
      </c>
      <c r="DB54" s="364" t="n">
        <f aca="false">IF(102&lt;5,0,IF(MAX(CW38:DB38)&gt;DB43+5+$B$18,1,0))</f>
        <v>0</v>
      </c>
      <c r="DC54" s="364" t="n">
        <f aca="false">IF(103&lt;5,0,IF(MAX(CX38:DC38)&gt;DC43+5+$B$18,1,0))</f>
        <v>0</v>
      </c>
      <c r="DD54" s="364" t="n">
        <f aca="false">IF(104&lt;5,0,IF(MAX(CY38:DD38)&gt;DD43+5+$B$18,1,0))</f>
        <v>0</v>
      </c>
      <c r="DE54" s="364" t="n">
        <f aca="false">IF(105&lt;5,0,IF(MAX(CZ38:DE38)&gt;DE43+5+$B$18,1,0))</f>
        <v>0</v>
      </c>
    </row>
    <row r="55" customFormat="false" ht="13.5" hidden="false" customHeight="true" outlineLevel="0" collapsed="false">
      <c r="A55" s="109" t="s">
        <v>1223</v>
      </c>
      <c r="B55" s="223" t="n">
        <f aca="false">$B$26</f>
        <v>160000</v>
      </c>
      <c r="E55" s="364" t="n">
        <f aca="false">IF(1&lt;5,0,IF(MAX(E38)&gt;E43+6+$B$18,1,0))</f>
        <v>0</v>
      </c>
      <c r="F55" s="364" t="n">
        <f aca="false">IF(2&lt;5,0,IF(MAX(E38:F38)&gt;F43+6+$B$18,1,0))</f>
        <v>0</v>
      </c>
      <c r="G55" s="364" t="n">
        <f aca="false">IF(3&lt;5,0,IF(MAX(E38:G38)&gt;G43+6+$B$18,1,0))</f>
        <v>0</v>
      </c>
      <c r="H55" s="364" t="n">
        <f aca="false">IF(4&lt;5,0,IF(MAX(E38:H38)&gt;H43+6+$B$18,1,0))</f>
        <v>0</v>
      </c>
      <c r="I55" s="364" t="n">
        <f aca="false">IF(5&lt;5,0,IF(MAX(E38:I38)&gt;I43+6+$B$18,1,0))</f>
        <v>0</v>
      </c>
      <c r="J55" s="364" t="n">
        <f aca="false">IF(6&lt;5,0,IF(MAX(E38:J38)&gt;J43+6+$B$18,1,0))</f>
        <v>0</v>
      </c>
      <c r="K55" s="364" t="n">
        <f aca="false">IF(7&lt;5,0,IF(MAX(F38:K38)&gt;K43+6+$B$18,1,0))</f>
        <v>0</v>
      </c>
      <c r="L55" s="364" t="n">
        <f aca="false">IF(8&lt;5,0,IF(MAX(G38:L38)&gt;L43+6+$B$18,1,0))</f>
        <v>0</v>
      </c>
      <c r="M55" s="364" t="n">
        <f aca="false">IF(9&lt;5,0,IF(MAX(H38:M38)&gt;M43+6+$B$18,1,0))</f>
        <v>0</v>
      </c>
      <c r="N55" s="364" t="n">
        <f aca="false">IF(10&lt;5,0,IF(MAX(I38:N38)&gt;N43+6+$B$18,1,0))</f>
        <v>0</v>
      </c>
      <c r="O55" s="364" t="n">
        <f aca="false">IF(11&lt;5,0,IF(MAX(J38:O38)&gt;O43+6+$B$18,1,0))</f>
        <v>0</v>
      </c>
      <c r="P55" s="364" t="n">
        <f aca="false">IF(12&lt;5,0,IF(MAX(K38:P38)&gt;P43+6+$B$18,1,0))</f>
        <v>0</v>
      </c>
      <c r="Q55" s="364" t="n">
        <f aca="false">IF(13&lt;5,0,IF(MAX(L38:Q38)&gt;Q43+6+$B$18,1,0))</f>
        <v>0</v>
      </c>
      <c r="R55" s="364" t="n">
        <f aca="false">IF(14&lt;5,0,IF(MAX(M38:R38)&gt;R43+6+$B$18,1,0))</f>
        <v>0</v>
      </c>
      <c r="S55" s="364" t="n">
        <f aca="false">IF(15&lt;5,0,IF(MAX(N38:S38)&gt;S43+6+$B$18,1,0))</f>
        <v>0</v>
      </c>
      <c r="T55" s="364" t="n">
        <f aca="false">IF(16&lt;5,0,IF(MAX(O38:T38)&gt;T43+6+$B$18,1,0))</f>
        <v>0</v>
      </c>
      <c r="U55" s="364" t="n">
        <f aca="false">IF(17&lt;5,0,IF(MAX(P38:U38)&gt;U43+6+$B$18,1,0))</f>
        <v>0</v>
      </c>
      <c r="V55" s="364" t="n">
        <f aca="false">IF(18&lt;5,0,IF(MAX(Q38:V38)&gt;V43+6+$B$18,1,0))</f>
        <v>0</v>
      </c>
      <c r="W55" s="364" t="n">
        <f aca="false">IF(19&lt;5,0,IF(MAX(R38:W38)&gt;W43+6+$B$18,1,0))</f>
        <v>0</v>
      </c>
      <c r="X55" s="364" t="n">
        <f aca="false">IF(20&lt;5,0,IF(MAX(S38:X38)&gt;X43+6+$B$18,1,0))</f>
        <v>0</v>
      </c>
      <c r="Y55" s="364" t="n">
        <f aca="false">IF(21&lt;5,0,IF(MAX(T38:Y38)&gt;Y43+6+$B$18,1,0))</f>
        <v>0</v>
      </c>
      <c r="Z55" s="364" t="n">
        <f aca="false">IF(22&lt;5,0,IF(MAX(U38:Z38)&gt;Z43+6+$B$18,1,0))</f>
        <v>0</v>
      </c>
      <c r="AA55" s="364" t="n">
        <f aca="false">IF(23&lt;5,0,IF(MAX(V38:AA38)&gt;AA43+6+$B$18,1,0))</f>
        <v>0</v>
      </c>
      <c r="AB55" s="364" t="n">
        <f aca="false">IF(24&lt;5,0,IF(MAX(W38:AB38)&gt;AB43+6+$B$18,1,0))</f>
        <v>0</v>
      </c>
      <c r="AC55" s="364" t="n">
        <f aca="false">IF(25&lt;5,0,IF(MAX(X38:AC38)&gt;AC43+6+$B$18,1,0))</f>
        <v>0</v>
      </c>
      <c r="AD55" s="364" t="n">
        <f aca="false">IF(26&lt;5,0,IF(MAX(Y38:AD38)&gt;AD43+6+$B$18,1,0))</f>
        <v>0</v>
      </c>
      <c r="AE55" s="364" t="n">
        <f aca="false">IF(27&lt;5,0,IF(MAX(Z38:AE38)&gt;AE43+6+$B$18,1,0))</f>
        <v>0</v>
      </c>
      <c r="AF55" s="364" t="n">
        <f aca="false">IF(28&lt;5,0,IF(MAX(AA38:AF38)&gt;AF43+6+$B$18,1,0))</f>
        <v>0</v>
      </c>
      <c r="AG55" s="364" t="n">
        <f aca="false">IF(29&lt;5,0,IF(MAX(AB38:AG38)&gt;AG43+6+$B$18,1,0))</f>
        <v>0</v>
      </c>
      <c r="AH55" s="364" t="n">
        <f aca="false">IF(30&lt;5,0,IF(MAX(AC38:AH38)&gt;AH43+6+$B$18,1,0))</f>
        <v>0</v>
      </c>
      <c r="AI55" s="364" t="n">
        <f aca="false">IF(31&lt;5,0,IF(MAX(AD38:AI38)&gt;AI43+6+$B$18,1,0))</f>
        <v>0</v>
      </c>
      <c r="AJ55" s="364" t="n">
        <f aca="false">IF(32&lt;5,0,IF(MAX(AE38:AJ38)&gt;AJ43+6+$B$18,1,0))</f>
        <v>0</v>
      </c>
      <c r="AK55" s="364" t="n">
        <f aca="false">IF(33&lt;5,0,IF(MAX(AF38:AK38)&gt;AK43+6+$B$18,1,0))</f>
        <v>0</v>
      </c>
      <c r="AL55" s="364" t="n">
        <f aca="false">IF(34&lt;5,0,IF(MAX(AG38:AL38)&gt;AL43+6+$B$18,1,0))</f>
        <v>0</v>
      </c>
      <c r="AM55" s="364" t="n">
        <f aca="false">IF(35&lt;5,0,IF(MAX(AH38:AM38)&gt;AM43+6+$B$18,1,0))</f>
        <v>0</v>
      </c>
      <c r="AN55" s="364" t="n">
        <f aca="false">IF(36&lt;5,0,IF(MAX(AI38:AN38)&gt;AN43+6+$B$18,1,0))</f>
        <v>0</v>
      </c>
      <c r="AO55" s="364" t="n">
        <f aca="false">IF(37&lt;5,0,IF(MAX(AJ38:AO38)&gt;AO43+6+$B$18,1,0))</f>
        <v>0</v>
      </c>
      <c r="AP55" s="364" t="n">
        <f aca="false">IF(38&lt;5,0,IF(MAX(AK38:AP38)&gt;AP43+6+$B$18,1,0))</f>
        <v>0</v>
      </c>
      <c r="AQ55" s="364" t="n">
        <f aca="false">IF(39&lt;5,0,IF(MAX(AL38:AQ38)&gt;AQ43+6+$B$18,1,0))</f>
        <v>0</v>
      </c>
      <c r="AR55" s="364" t="n">
        <f aca="false">IF(40&lt;5,0,IF(MAX(AM38:AR38)&gt;AR43+6+$B$18,1,0))</f>
        <v>0</v>
      </c>
      <c r="AS55" s="364" t="n">
        <f aca="false">IF(41&lt;5,0,IF(MAX(AN38:AS38)&gt;AS43+6+$B$18,1,0))</f>
        <v>0</v>
      </c>
      <c r="AT55" s="364" t="n">
        <f aca="false">IF(42&lt;5,0,IF(MAX(AO38:AT38)&gt;AT43+6+$B$18,1,0))</f>
        <v>0</v>
      </c>
      <c r="AU55" s="364" t="n">
        <f aca="false">IF(43&lt;5,0,IF(MAX(AP38:AU38)&gt;AU43+6+$B$18,1,0))</f>
        <v>0</v>
      </c>
      <c r="AV55" s="364" t="n">
        <f aca="false">IF(44&lt;5,0,IF(MAX(AQ38:AV38)&gt;AV43+6+$B$18,1,0))</f>
        <v>0</v>
      </c>
      <c r="AW55" s="364" t="n">
        <f aca="false">IF(45&lt;5,0,IF(MAX(AR38:AW38)&gt;AW43+6+$B$18,1,0))</f>
        <v>0</v>
      </c>
      <c r="AX55" s="364" t="n">
        <f aca="false">IF(46&lt;5,0,IF(MAX(AS38:AX38)&gt;AX43+6+$B$18,1,0))</f>
        <v>0</v>
      </c>
      <c r="AY55" s="364" t="n">
        <f aca="false">IF(47&lt;5,0,IF(MAX(AT38:AY38)&gt;AY43+6+$B$18,1,0))</f>
        <v>0</v>
      </c>
      <c r="AZ55" s="364" t="n">
        <f aca="false">IF(48&lt;5,0,IF(MAX(AU38:AZ38)&gt;AZ43+6+$B$18,1,0))</f>
        <v>0</v>
      </c>
      <c r="BA55" s="364" t="n">
        <f aca="false">IF(49&lt;5,0,IF(MAX(AV38:BA38)&gt;BA43+6+$B$18,1,0))</f>
        <v>0</v>
      </c>
      <c r="BB55" s="364" t="n">
        <f aca="false">IF(50&lt;5,0,IF(MAX(AW38:BB38)&gt;BB43+6+$B$18,1,0))</f>
        <v>0</v>
      </c>
      <c r="BC55" s="364" t="n">
        <f aca="false">IF(51&lt;5,0,IF(MAX(AX38:BC38)&gt;BC43+6+$B$18,1,0))</f>
        <v>0</v>
      </c>
      <c r="BD55" s="364" t="n">
        <f aca="false">IF(52&lt;5,0,IF(MAX(AY38:BD38)&gt;BD43+6+$B$18,1,0))</f>
        <v>0</v>
      </c>
      <c r="BE55" s="364" t="n">
        <f aca="false">IF(53&lt;5,0,IF(MAX(AZ38:BE38)&gt;BE43+6+$B$18,1,0))</f>
        <v>0</v>
      </c>
      <c r="BF55" s="364" t="n">
        <f aca="false">IF(54&lt;5,0,IF(MAX(BA38:BF38)&gt;BF43+6+$B$18,1,0))</f>
        <v>0</v>
      </c>
      <c r="BG55" s="364" t="n">
        <f aca="false">IF(55&lt;5,0,IF(MAX(BB38:BG38)&gt;BG43+6+$B$18,1,0))</f>
        <v>0</v>
      </c>
      <c r="BH55" s="364" t="n">
        <f aca="false">IF(56&lt;5,0,IF(MAX(BC38:BH38)&gt;BH43+6+$B$18,1,0))</f>
        <v>0</v>
      </c>
      <c r="BI55" s="364" t="n">
        <f aca="false">IF(57&lt;5,0,IF(MAX(BD38:BI38)&gt;BI43+6+$B$18,1,0))</f>
        <v>0</v>
      </c>
      <c r="BJ55" s="364" t="n">
        <f aca="false">IF(58&lt;5,0,IF(MAX(BE38:BJ38)&gt;BJ43+6+$B$18,1,0))</f>
        <v>0</v>
      </c>
      <c r="BK55" s="364" t="n">
        <f aca="false">IF(59&lt;5,0,IF(MAX(BF38:BK38)&gt;BK43+6+$B$18,1,0))</f>
        <v>0</v>
      </c>
      <c r="BL55" s="364" t="n">
        <f aca="false">IF(60&lt;5,0,IF(MAX(BG38:BL38)&gt;BL43+6+$B$18,1,0))</f>
        <v>0</v>
      </c>
      <c r="BM55" s="364" t="n">
        <f aca="false">IF(61&lt;5,0,IF(MAX(BH38:BM38)&gt;BM43+6+$B$18,1,0))</f>
        <v>0</v>
      </c>
      <c r="BN55" s="364" t="n">
        <f aca="false">IF(62&lt;5,0,IF(MAX(BI38:BN38)&gt;BN43+6+$B$18,1,0))</f>
        <v>0</v>
      </c>
      <c r="BO55" s="364" t="n">
        <f aca="false">IF(63&lt;5,0,IF(MAX(BJ38:BO38)&gt;BO43+6+$B$18,1,0))</f>
        <v>0</v>
      </c>
      <c r="BP55" s="364" t="n">
        <f aca="false">IF(64&lt;5,0,IF(MAX(BK38:BP38)&gt;BP43+6+$B$18,1,0))</f>
        <v>0</v>
      </c>
      <c r="BQ55" s="364" t="n">
        <f aca="false">IF(65&lt;5,0,IF(MAX(BL38:BQ38)&gt;BQ43+6+$B$18,1,0))</f>
        <v>0</v>
      </c>
      <c r="BR55" s="364" t="n">
        <f aca="false">IF(66&lt;5,0,IF(MAX(BM38:BR38)&gt;BR43+6+$B$18,1,0))</f>
        <v>0</v>
      </c>
      <c r="BS55" s="364" t="n">
        <f aca="false">IF(67&lt;5,0,IF(MAX(BN38:BS38)&gt;BS43+6+$B$18,1,0))</f>
        <v>0</v>
      </c>
      <c r="BT55" s="364" t="n">
        <f aca="false">IF(68&lt;5,0,IF(MAX(BO38:BT38)&gt;BT43+6+$B$18,1,0))</f>
        <v>0</v>
      </c>
      <c r="BU55" s="364" t="n">
        <f aca="false">IF(69&lt;5,0,IF(MAX(BP38:BU38)&gt;BU43+6+$B$18,1,0))</f>
        <v>0</v>
      </c>
      <c r="BV55" s="364" t="n">
        <f aca="false">IF(70&lt;5,0,IF(MAX(BQ38:BV38)&gt;BV43+6+$B$18,1,0))</f>
        <v>0</v>
      </c>
      <c r="BW55" s="364" t="n">
        <f aca="false">IF(71&lt;5,0,IF(MAX(BR38:BW38)&gt;BW43+6+$B$18,1,0))</f>
        <v>0</v>
      </c>
      <c r="BX55" s="364" t="n">
        <f aca="false">IF(72&lt;5,0,IF(MAX(BS38:BX38)&gt;BX43+6+$B$18,1,0))</f>
        <v>0</v>
      </c>
      <c r="BY55" s="364" t="n">
        <f aca="false">IF(73&lt;5,0,IF(MAX(BT38:BY38)&gt;BY43+6+$B$18,1,0))</f>
        <v>0</v>
      </c>
      <c r="BZ55" s="364" t="n">
        <f aca="false">IF(74&lt;5,0,IF(MAX(BU38:BZ38)&gt;BZ43+6+$B$18,1,0))</f>
        <v>0</v>
      </c>
      <c r="CA55" s="364" t="n">
        <f aca="false">IF(75&lt;5,0,IF(MAX(BV38:CA38)&gt;CA43+6+$B$18,1,0))</f>
        <v>0</v>
      </c>
      <c r="CB55" s="364" t="n">
        <f aca="false">IF(76&lt;5,0,IF(MAX(BW38:CB38)&gt;CB43+6+$B$18,1,0))</f>
        <v>0</v>
      </c>
      <c r="CC55" s="364" t="n">
        <f aca="false">IF(77&lt;5,0,IF(MAX(BX38:CC38)&gt;CC43+6+$B$18,1,0))</f>
        <v>0</v>
      </c>
      <c r="CD55" s="364" t="n">
        <f aca="false">IF(78&lt;5,0,IF(MAX(BY38:CD38)&gt;CD43+6+$B$18,1,0))</f>
        <v>0</v>
      </c>
      <c r="CE55" s="364" t="n">
        <f aca="false">IF(79&lt;5,0,IF(MAX(BZ38:CE38)&gt;CE43+6+$B$18,1,0))</f>
        <v>0</v>
      </c>
      <c r="CF55" s="364" t="n">
        <f aca="false">IF(80&lt;5,0,IF(MAX(CA38:CF38)&gt;CF43+6+$B$18,1,0))</f>
        <v>0</v>
      </c>
      <c r="CG55" s="364" t="n">
        <f aca="false">IF(81&lt;5,0,IF(MAX(CB38:CG38)&gt;CG43+6+$B$18,1,0))</f>
        <v>0</v>
      </c>
      <c r="CH55" s="364" t="n">
        <f aca="false">IF(82&lt;5,0,IF(MAX(CC38:CH38)&gt;CH43+6+$B$18,1,0))</f>
        <v>0</v>
      </c>
      <c r="CI55" s="364" t="n">
        <f aca="false">IF(83&lt;5,0,IF(MAX(CD38:CI38)&gt;CI43+6+$B$18,1,0))</f>
        <v>0</v>
      </c>
      <c r="CJ55" s="364" t="n">
        <f aca="false">IF(84&lt;5,0,IF(MAX(CE38:CJ38)&gt;CJ43+6+$B$18,1,0))</f>
        <v>0</v>
      </c>
      <c r="CK55" s="364" t="n">
        <f aca="false">IF(85&lt;5,0,IF(MAX(CF38:CK38)&gt;CK43+6+$B$18,1,0))</f>
        <v>0</v>
      </c>
      <c r="CL55" s="364" t="n">
        <f aca="false">IF(86&lt;5,0,IF(MAX(CG38:CL38)&gt;CL43+6+$B$18,1,0))</f>
        <v>0</v>
      </c>
      <c r="CM55" s="364" t="n">
        <f aca="false">IF(87&lt;5,0,IF(MAX(CH38:CM38)&gt;CM43+6+$B$18,1,0))</f>
        <v>0</v>
      </c>
      <c r="CN55" s="364" t="n">
        <f aca="false">IF(88&lt;5,0,IF(MAX(CI38:CN38)&gt;CN43+6+$B$18,1,0))</f>
        <v>0</v>
      </c>
      <c r="CO55" s="364" t="n">
        <f aca="false">IF(89&lt;5,0,IF(MAX(CJ38:CO38)&gt;CO43+6+$B$18,1,0))</f>
        <v>0</v>
      </c>
      <c r="CP55" s="364" t="n">
        <f aca="false">IF(90&lt;5,0,IF(MAX(CK38:CP38)&gt;CP43+6+$B$18,1,0))</f>
        <v>0</v>
      </c>
      <c r="CQ55" s="364" t="n">
        <f aca="false">IF(91&lt;5,0,IF(MAX(CL38:CQ38)&gt;CQ43+6+$B$18,1,0))</f>
        <v>0</v>
      </c>
      <c r="CR55" s="364" t="n">
        <f aca="false">IF(92&lt;5,0,IF(MAX(CM38:CR38)&gt;CR43+6+$B$18,1,0))</f>
        <v>0</v>
      </c>
      <c r="CS55" s="364" t="n">
        <f aca="false">IF(93&lt;5,0,IF(MAX(CN38:CS38)&gt;CS43+6+$B$18,1,0))</f>
        <v>0</v>
      </c>
      <c r="CT55" s="364" t="n">
        <f aca="false">IF(94&lt;5,0,IF(MAX(CO38:CT38)&gt;CT43+6+$B$18,1,0))</f>
        <v>0</v>
      </c>
      <c r="CU55" s="364" t="n">
        <f aca="false">IF(95&lt;5,0,IF(MAX(CP38:CU38)&gt;CU43+6+$B$18,1,0))</f>
        <v>0</v>
      </c>
      <c r="CV55" s="364" t="n">
        <f aca="false">IF(96&lt;5,0,IF(MAX(CQ38:CV38)&gt;CV43+6+$B$18,1,0))</f>
        <v>0</v>
      </c>
      <c r="CW55" s="364" t="n">
        <f aca="false">IF(97&lt;5,0,IF(MAX(CR38:CW38)&gt;CW43+6+$B$18,1,0))</f>
        <v>0</v>
      </c>
      <c r="CX55" s="364" t="n">
        <f aca="false">IF(98&lt;5,0,IF(MAX(CS38:CX38)&gt;CX43+6+$B$18,1,0))</f>
        <v>0</v>
      </c>
      <c r="CY55" s="364" t="n">
        <f aca="false">IF(99&lt;5,0,IF(MAX(CT38:CY38)&gt;CY43+6+$B$18,1,0))</f>
        <v>0</v>
      </c>
      <c r="CZ55" s="364" t="n">
        <f aca="false">IF(100&lt;5,0,IF(MAX(CU38:CZ38)&gt;CZ43+6+$B$18,1,0))</f>
        <v>0</v>
      </c>
      <c r="DA55" s="364" t="n">
        <f aca="false">IF(101&lt;5,0,IF(MAX(CV38:DA38)&gt;DA43+6+$B$18,1,0))</f>
        <v>0</v>
      </c>
      <c r="DB55" s="364" t="n">
        <f aca="false">IF(102&lt;5,0,IF(MAX(CW38:DB38)&gt;DB43+6+$B$18,1,0))</f>
        <v>0</v>
      </c>
      <c r="DC55" s="364" t="n">
        <f aca="false">IF(103&lt;5,0,IF(MAX(CX38:DC38)&gt;DC43+6+$B$18,1,0))</f>
        <v>0</v>
      </c>
      <c r="DD55" s="364" t="n">
        <f aca="false">IF(104&lt;5,0,IF(MAX(CY38:DD38)&gt;DD43+6+$B$18,1,0))</f>
        <v>0</v>
      </c>
      <c r="DE55" s="364" t="n">
        <f aca="false">IF(105&lt;5,0,IF(MAX(CZ38:DE38)&gt;DE43+6+$B$18,1,0))</f>
        <v>0</v>
      </c>
    </row>
    <row r="56" customFormat="false" ht="13.5" hidden="false" customHeight="true" outlineLevel="0" collapsed="false">
      <c r="A56" s="109" t="s">
        <v>1224</v>
      </c>
      <c r="B56" s="223" t="n">
        <f aca="false">$B$26</f>
        <v>160000</v>
      </c>
      <c r="E56" s="364" t="n">
        <f aca="false">IF(1&lt;5,0,IF(MAX(E38)&gt;E43+7+$B$18,1,0))</f>
        <v>0</v>
      </c>
      <c r="F56" s="364" t="n">
        <f aca="false">IF(2&lt;5,0,IF(MAX(E38:F38)&gt;F43+7+$B$18,1,0))</f>
        <v>0</v>
      </c>
      <c r="G56" s="364" t="n">
        <f aca="false">IF(3&lt;5,0,IF(MAX(E38:G38)&gt;G43+7+$B$18,1,0))</f>
        <v>0</v>
      </c>
      <c r="H56" s="364" t="n">
        <f aca="false">IF(4&lt;5,0,IF(MAX(E38:H38)&gt;H43+7+$B$18,1,0))</f>
        <v>0</v>
      </c>
      <c r="I56" s="364" t="n">
        <f aca="false">IF(5&lt;5,0,IF(MAX(E38:I38)&gt;I43+7+$B$18,1,0))</f>
        <v>0</v>
      </c>
      <c r="J56" s="364" t="n">
        <f aca="false">IF(6&lt;5,0,IF(MAX(E38:J38)&gt;J43+7+$B$18,1,0))</f>
        <v>0</v>
      </c>
      <c r="K56" s="364" t="n">
        <f aca="false">IF(7&lt;5,0,IF(MAX(F38:K38)&gt;K43+7+$B$18,1,0))</f>
        <v>0</v>
      </c>
      <c r="L56" s="364" t="n">
        <f aca="false">IF(8&lt;5,0,IF(MAX(G38:L38)&gt;L43+7+$B$18,1,0))</f>
        <v>0</v>
      </c>
      <c r="M56" s="364" t="n">
        <f aca="false">IF(9&lt;5,0,IF(MAX(H38:M38)&gt;M43+7+$B$18,1,0))</f>
        <v>0</v>
      </c>
      <c r="N56" s="364" t="n">
        <f aca="false">IF(10&lt;5,0,IF(MAX(I38:N38)&gt;N43+7+$B$18,1,0))</f>
        <v>0</v>
      </c>
      <c r="O56" s="364" t="n">
        <f aca="false">IF(11&lt;5,0,IF(MAX(J38:O38)&gt;O43+7+$B$18,1,0))</f>
        <v>0</v>
      </c>
      <c r="P56" s="364" t="n">
        <f aca="false">IF(12&lt;5,0,IF(MAX(K38:P38)&gt;P43+7+$B$18,1,0))</f>
        <v>0</v>
      </c>
      <c r="Q56" s="364" t="n">
        <f aca="false">IF(13&lt;5,0,IF(MAX(L38:Q38)&gt;Q43+7+$B$18,1,0))</f>
        <v>0</v>
      </c>
      <c r="R56" s="364" t="n">
        <f aca="false">IF(14&lt;5,0,IF(MAX(M38:R38)&gt;R43+7+$B$18,1,0))</f>
        <v>0</v>
      </c>
      <c r="S56" s="364" t="n">
        <f aca="false">IF(15&lt;5,0,IF(MAX(N38:S38)&gt;S43+7+$B$18,1,0))</f>
        <v>0</v>
      </c>
      <c r="T56" s="364" t="n">
        <f aca="false">IF(16&lt;5,0,IF(MAX(O38:T38)&gt;T43+7+$B$18,1,0))</f>
        <v>0</v>
      </c>
      <c r="U56" s="364" t="n">
        <f aca="false">IF(17&lt;5,0,IF(MAX(P38:U38)&gt;U43+7+$B$18,1,0))</f>
        <v>0</v>
      </c>
      <c r="V56" s="364" t="n">
        <f aca="false">IF(18&lt;5,0,IF(MAX(Q38:V38)&gt;V43+7+$B$18,1,0))</f>
        <v>0</v>
      </c>
      <c r="W56" s="364" t="n">
        <f aca="false">IF(19&lt;5,0,IF(MAX(R38:W38)&gt;W43+7+$B$18,1,0))</f>
        <v>0</v>
      </c>
      <c r="X56" s="364" t="n">
        <f aca="false">IF(20&lt;5,0,IF(MAX(S38:X38)&gt;X43+7+$B$18,1,0))</f>
        <v>0</v>
      </c>
      <c r="Y56" s="364" t="n">
        <f aca="false">IF(21&lt;5,0,IF(MAX(T38:Y38)&gt;Y43+7+$B$18,1,0))</f>
        <v>0</v>
      </c>
      <c r="Z56" s="364" t="n">
        <f aca="false">IF(22&lt;5,0,IF(MAX(U38:Z38)&gt;Z43+7+$B$18,1,0))</f>
        <v>0</v>
      </c>
      <c r="AA56" s="364" t="n">
        <f aca="false">IF(23&lt;5,0,IF(MAX(V38:AA38)&gt;AA43+7+$B$18,1,0))</f>
        <v>0</v>
      </c>
      <c r="AB56" s="364" t="n">
        <f aca="false">IF(24&lt;5,0,IF(MAX(W38:AB38)&gt;AB43+7+$B$18,1,0))</f>
        <v>0</v>
      </c>
      <c r="AC56" s="364" t="n">
        <f aca="false">IF(25&lt;5,0,IF(MAX(X38:AC38)&gt;AC43+7+$B$18,1,0))</f>
        <v>0</v>
      </c>
      <c r="AD56" s="364" t="n">
        <f aca="false">IF(26&lt;5,0,IF(MAX(Y38:AD38)&gt;AD43+7+$B$18,1,0))</f>
        <v>0</v>
      </c>
      <c r="AE56" s="364" t="n">
        <f aca="false">IF(27&lt;5,0,IF(MAX(Z38:AE38)&gt;AE43+7+$B$18,1,0))</f>
        <v>0</v>
      </c>
      <c r="AF56" s="364" t="n">
        <f aca="false">IF(28&lt;5,0,IF(MAX(AA38:AF38)&gt;AF43+7+$B$18,1,0))</f>
        <v>0</v>
      </c>
      <c r="AG56" s="364" t="n">
        <f aca="false">IF(29&lt;5,0,IF(MAX(AB38:AG38)&gt;AG43+7+$B$18,1,0))</f>
        <v>0</v>
      </c>
      <c r="AH56" s="364" t="n">
        <f aca="false">IF(30&lt;5,0,IF(MAX(AC38:AH38)&gt;AH43+7+$B$18,1,0))</f>
        <v>0</v>
      </c>
      <c r="AI56" s="364" t="n">
        <f aca="false">IF(31&lt;5,0,IF(MAX(AD38:AI38)&gt;AI43+7+$B$18,1,0))</f>
        <v>0</v>
      </c>
      <c r="AJ56" s="364" t="n">
        <f aca="false">IF(32&lt;5,0,IF(MAX(AE38:AJ38)&gt;AJ43+7+$B$18,1,0))</f>
        <v>0</v>
      </c>
      <c r="AK56" s="364" t="n">
        <f aca="false">IF(33&lt;5,0,IF(MAX(AF38:AK38)&gt;AK43+7+$B$18,1,0))</f>
        <v>0</v>
      </c>
      <c r="AL56" s="364" t="n">
        <f aca="false">IF(34&lt;5,0,IF(MAX(AG38:AL38)&gt;AL43+7+$B$18,1,0))</f>
        <v>0</v>
      </c>
      <c r="AM56" s="364" t="n">
        <f aca="false">IF(35&lt;5,0,IF(MAX(AH38:AM38)&gt;AM43+7+$B$18,1,0))</f>
        <v>0</v>
      </c>
      <c r="AN56" s="364" t="n">
        <f aca="false">IF(36&lt;5,0,IF(MAX(AI38:AN38)&gt;AN43+7+$B$18,1,0))</f>
        <v>0</v>
      </c>
      <c r="AO56" s="364" t="n">
        <f aca="false">IF(37&lt;5,0,IF(MAX(AJ38:AO38)&gt;AO43+7+$B$18,1,0))</f>
        <v>0</v>
      </c>
      <c r="AP56" s="364" t="n">
        <f aca="false">IF(38&lt;5,0,IF(MAX(AK38:AP38)&gt;AP43+7+$B$18,1,0))</f>
        <v>0</v>
      </c>
      <c r="AQ56" s="364" t="n">
        <f aca="false">IF(39&lt;5,0,IF(MAX(AL38:AQ38)&gt;AQ43+7+$B$18,1,0))</f>
        <v>0</v>
      </c>
      <c r="AR56" s="364" t="n">
        <f aca="false">IF(40&lt;5,0,IF(MAX(AM38:AR38)&gt;AR43+7+$B$18,1,0))</f>
        <v>0</v>
      </c>
      <c r="AS56" s="364" t="n">
        <f aca="false">IF(41&lt;5,0,IF(MAX(AN38:AS38)&gt;AS43+7+$B$18,1,0))</f>
        <v>0</v>
      </c>
      <c r="AT56" s="364" t="n">
        <f aca="false">IF(42&lt;5,0,IF(MAX(AO38:AT38)&gt;AT43+7+$B$18,1,0))</f>
        <v>0</v>
      </c>
      <c r="AU56" s="364" t="n">
        <f aca="false">IF(43&lt;5,0,IF(MAX(AP38:AU38)&gt;AU43+7+$B$18,1,0))</f>
        <v>0</v>
      </c>
      <c r="AV56" s="364" t="n">
        <f aca="false">IF(44&lt;5,0,IF(MAX(AQ38:AV38)&gt;AV43+7+$B$18,1,0))</f>
        <v>0</v>
      </c>
      <c r="AW56" s="364" t="n">
        <f aca="false">IF(45&lt;5,0,IF(MAX(AR38:AW38)&gt;AW43+7+$B$18,1,0))</f>
        <v>0</v>
      </c>
      <c r="AX56" s="364" t="n">
        <f aca="false">IF(46&lt;5,0,IF(MAX(AS38:AX38)&gt;AX43+7+$B$18,1,0))</f>
        <v>0</v>
      </c>
      <c r="AY56" s="364" t="n">
        <f aca="false">IF(47&lt;5,0,IF(MAX(AT38:AY38)&gt;AY43+7+$B$18,1,0))</f>
        <v>0</v>
      </c>
      <c r="AZ56" s="364" t="n">
        <f aca="false">IF(48&lt;5,0,IF(MAX(AU38:AZ38)&gt;AZ43+7+$B$18,1,0))</f>
        <v>0</v>
      </c>
      <c r="BA56" s="364" t="n">
        <f aca="false">IF(49&lt;5,0,IF(MAX(AV38:BA38)&gt;BA43+7+$B$18,1,0))</f>
        <v>0</v>
      </c>
      <c r="BB56" s="364" t="n">
        <f aca="false">IF(50&lt;5,0,IF(MAX(AW38:BB38)&gt;BB43+7+$B$18,1,0))</f>
        <v>0</v>
      </c>
      <c r="BC56" s="364" t="n">
        <f aca="false">IF(51&lt;5,0,IF(MAX(AX38:BC38)&gt;BC43+7+$B$18,1,0))</f>
        <v>0</v>
      </c>
      <c r="BD56" s="364" t="n">
        <f aca="false">IF(52&lt;5,0,IF(MAX(AY38:BD38)&gt;BD43+7+$B$18,1,0))</f>
        <v>0</v>
      </c>
      <c r="BE56" s="364" t="n">
        <f aca="false">IF(53&lt;5,0,IF(MAX(AZ38:BE38)&gt;BE43+7+$B$18,1,0))</f>
        <v>0</v>
      </c>
      <c r="BF56" s="364" t="n">
        <f aca="false">IF(54&lt;5,0,IF(MAX(BA38:BF38)&gt;BF43+7+$B$18,1,0))</f>
        <v>0</v>
      </c>
      <c r="BG56" s="364" t="n">
        <f aca="false">IF(55&lt;5,0,IF(MAX(BB38:BG38)&gt;BG43+7+$B$18,1,0))</f>
        <v>0</v>
      </c>
      <c r="BH56" s="364" t="n">
        <f aca="false">IF(56&lt;5,0,IF(MAX(BC38:BH38)&gt;BH43+7+$B$18,1,0))</f>
        <v>0</v>
      </c>
      <c r="BI56" s="364" t="n">
        <f aca="false">IF(57&lt;5,0,IF(MAX(BD38:BI38)&gt;BI43+7+$B$18,1,0))</f>
        <v>0</v>
      </c>
      <c r="BJ56" s="364" t="n">
        <f aca="false">IF(58&lt;5,0,IF(MAX(BE38:BJ38)&gt;BJ43+7+$B$18,1,0))</f>
        <v>0</v>
      </c>
      <c r="BK56" s="364" t="n">
        <f aca="false">IF(59&lt;5,0,IF(MAX(BF38:BK38)&gt;BK43+7+$B$18,1,0))</f>
        <v>0</v>
      </c>
      <c r="BL56" s="364" t="n">
        <f aca="false">IF(60&lt;5,0,IF(MAX(BG38:BL38)&gt;BL43+7+$B$18,1,0))</f>
        <v>0</v>
      </c>
      <c r="BM56" s="364" t="n">
        <f aca="false">IF(61&lt;5,0,IF(MAX(BH38:BM38)&gt;BM43+7+$B$18,1,0))</f>
        <v>0</v>
      </c>
      <c r="BN56" s="364" t="n">
        <f aca="false">IF(62&lt;5,0,IF(MAX(BI38:BN38)&gt;BN43+7+$B$18,1,0))</f>
        <v>0</v>
      </c>
      <c r="BO56" s="364" t="n">
        <f aca="false">IF(63&lt;5,0,IF(MAX(BJ38:BO38)&gt;BO43+7+$B$18,1,0))</f>
        <v>0</v>
      </c>
      <c r="BP56" s="364" t="n">
        <f aca="false">IF(64&lt;5,0,IF(MAX(BK38:BP38)&gt;BP43+7+$B$18,1,0))</f>
        <v>0</v>
      </c>
      <c r="BQ56" s="364" t="n">
        <f aca="false">IF(65&lt;5,0,IF(MAX(BL38:BQ38)&gt;BQ43+7+$B$18,1,0))</f>
        <v>0</v>
      </c>
      <c r="BR56" s="364" t="n">
        <f aca="false">IF(66&lt;5,0,IF(MAX(BM38:BR38)&gt;BR43+7+$B$18,1,0))</f>
        <v>0</v>
      </c>
      <c r="BS56" s="364" t="n">
        <f aca="false">IF(67&lt;5,0,IF(MAX(BN38:BS38)&gt;BS43+7+$B$18,1,0))</f>
        <v>0</v>
      </c>
      <c r="BT56" s="364" t="n">
        <f aca="false">IF(68&lt;5,0,IF(MAX(BO38:BT38)&gt;BT43+7+$B$18,1,0))</f>
        <v>0</v>
      </c>
      <c r="BU56" s="364" t="n">
        <f aca="false">IF(69&lt;5,0,IF(MAX(BP38:BU38)&gt;BU43+7+$B$18,1,0))</f>
        <v>0</v>
      </c>
      <c r="BV56" s="364" t="n">
        <f aca="false">IF(70&lt;5,0,IF(MAX(BQ38:BV38)&gt;BV43+7+$B$18,1,0))</f>
        <v>0</v>
      </c>
      <c r="BW56" s="364" t="n">
        <f aca="false">IF(71&lt;5,0,IF(MAX(BR38:BW38)&gt;BW43+7+$B$18,1,0))</f>
        <v>0</v>
      </c>
      <c r="BX56" s="364" t="n">
        <f aca="false">IF(72&lt;5,0,IF(MAX(BS38:BX38)&gt;BX43+7+$B$18,1,0))</f>
        <v>0</v>
      </c>
      <c r="BY56" s="364" t="n">
        <f aca="false">IF(73&lt;5,0,IF(MAX(BT38:BY38)&gt;BY43+7+$B$18,1,0))</f>
        <v>0</v>
      </c>
      <c r="BZ56" s="364" t="n">
        <f aca="false">IF(74&lt;5,0,IF(MAX(BU38:BZ38)&gt;BZ43+7+$B$18,1,0))</f>
        <v>0</v>
      </c>
      <c r="CA56" s="364" t="n">
        <f aca="false">IF(75&lt;5,0,IF(MAX(BV38:CA38)&gt;CA43+7+$B$18,1,0))</f>
        <v>0</v>
      </c>
      <c r="CB56" s="364" t="n">
        <f aca="false">IF(76&lt;5,0,IF(MAX(BW38:CB38)&gt;CB43+7+$B$18,1,0))</f>
        <v>0</v>
      </c>
      <c r="CC56" s="364" t="n">
        <f aca="false">IF(77&lt;5,0,IF(MAX(BX38:CC38)&gt;CC43+7+$B$18,1,0))</f>
        <v>0</v>
      </c>
      <c r="CD56" s="364" t="n">
        <f aca="false">IF(78&lt;5,0,IF(MAX(BY38:CD38)&gt;CD43+7+$B$18,1,0))</f>
        <v>0</v>
      </c>
      <c r="CE56" s="364" t="n">
        <f aca="false">IF(79&lt;5,0,IF(MAX(BZ38:CE38)&gt;CE43+7+$B$18,1,0))</f>
        <v>0</v>
      </c>
      <c r="CF56" s="364" t="n">
        <f aca="false">IF(80&lt;5,0,IF(MAX(CA38:CF38)&gt;CF43+7+$B$18,1,0))</f>
        <v>0</v>
      </c>
      <c r="CG56" s="364" t="n">
        <f aca="false">IF(81&lt;5,0,IF(MAX(CB38:CG38)&gt;CG43+7+$B$18,1,0))</f>
        <v>0</v>
      </c>
      <c r="CH56" s="364" t="n">
        <f aca="false">IF(82&lt;5,0,IF(MAX(CC38:CH38)&gt;CH43+7+$B$18,1,0))</f>
        <v>0</v>
      </c>
      <c r="CI56" s="364" t="n">
        <f aca="false">IF(83&lt;5,0,IF(MAX(CD38:CI38)&gt;CI43+7+$B$18,1,0))</f>
        <v>0</v>
      </c>
      <c r="CJ56" s="364" t="n">
        <f aca="false">IF(84&lt;5,0,IF(MAX(CE38:CJ38)&gt;CJ43+7+$B$18,1,0))</f>
        <v>0</v>
      </c>
      <c r="CK56" s="364" t="n">
        <f aca="false">IF(85&lt;5,0,IF(MAX(CF38:CK38)&gt;CK43+7+$B$18,1,0))</f>
        <v>0</v>
      </c>
      <c r="CL56" s="364" t="n">
        <f aca="false">IF(86&lt;5,0,IF(MAX(CG38:CL38)&gt;CL43+7+$B$18,1,0))</f>
        <v>0</v>
      </c>
      <c r="CM56" s="364" t="n">
        <f aca="false">IF(87&lt;5,0,IF(MAX(CH38:CM38)&gt;CM43+7+$B$18,1,0))</f>
        <v>0</v>
      </c>
      <c r="CN56" s="364" t="n">
        <f aca="false">IF(88&lt;5,0,IF(MAX(CI38:CN38)&gt;CN43+7+$B$18,1,0))</f>
        <v>0</v>
      </c>
      <c r="CO56" s="364" t="n">
        <f aca="false">IF(89&lt;5,0,IF(MAX(CJ38:CO38)&gt;CO43+7+$B$18,1,0))</f>
        <v>0</v>
      </c>
      <c r="CP56" s="364" t="n">
        <f aca="false">IF(90&lt;5,0,IF(MAX(CK38:CP38)&gt;CP43+7+$B$18,1,0))</f>
        <v>0</v>
      </c>
      <c r="CQ56" s="364" t="n">
        <f aca="false">IF(91&lt;5,0,IF(MAX(CL38:CQ38)&gt;CQ43+7+$B$18,1,0))</f>
        <v>0</v>
      </c>
      <c r="CR56" s="364" t="n">
        <f aca="false">IF(92&lt;5,0,IF(MAX(CM38:CR38)&gt;CR43+7+$B$18,1,0))</f>
        <v>0</v>
      </c>
      <c r="CS56" s="364" t="n">
        <f aca="false">IF(93&lt;5,0,IF(MAX(CN38:CS38)&gt;CS43+7+$B$18,1,0))</f>
        <v>0</v>
      </c>
      <c r="CT56" s="364" t="n">
        <f aca="false">IF(94&lt;5,0,IF(MAX(CO38:CT38)&gt;CT43+7+$B$18,1,0))</f>
        <v>0</v>
      </c>
      <c r="CU56" s="364" t="n">
        <f aca="false">IF(95&lt;5,0,IF(MAX(CP38:CU38)&gt;CU43+7+$B$18,1,0))</f>
        <v>0</v>
      </c>
      <c r="CV56" s="364" t="n">
        <f aca="false">IF(96&lt;5,0,IF(MAX(CQ38:CV38)&gt;CV43+7+$B$18,1,0))</f>
        <v>0</v>
      </c>
      <c r="CW56" s="364" t="n">
        <f aca="false">IF(97&lt;5,0,IF(MAX(CR38:CW38)&gt;CW43+7+$B$18,1,0))</f>
        <v>0</v>
      </c>
      <c r="CX56" s="364" t="n">
        <f aca="false">IF(98&lt;5,0,IF(MAX(CS38:CX38)&gt;CX43+7+$B$18,1,0))</f>
        <v>0</v>
      </c>
      <c r="CY56" s="364" t="n">
        <f aca="false">IF(99&lt;5,0,IF(MAX(CT38:CY38)&gt;CY43+7+$B$18,1,0))</f>
        <v>0</v>
      </c>
      <c r="CZ56" s="364" t="n">
        <f aca="false">IF(100&lt;5,0,IF(MAX(CU38:CZ38)&gt;CZ43+7+$B$18,1,0))</f>
        <v>0</v>
      </c>
      <c r="DA56" s="364" t="n">
        <f aca="false">IF(101&lt;5,0,IF(MAX(CV38:DA38)&gt;DA43+7+$B$18,1,0))</f>
        <v>0</v>
      </c>
      <c r="DB56" s="364" t="n">
        <f aca="false">IF(102&lt;5,0,IF(MAX(CW38:DB38)&gt;DB43+7+$B$18,1,0))</f>
        <v>0</v>
      </c>
      <c r="DC56" s="364" t="n">
        <f aca="false">IF(103&lt;5,0,IF(MAX(CX38:DC38)&gt;DC43+7+$B$18,1,0))</f>
        <v>0</v>
      </c>
      <c r="DD56" s="364" t="n">
        <f aca="false">IF(104&lt;5,0,IF(MAX(CY38:DD38)&gt;DD43+7+$B$18,1,0))</f>
        <v>0</v>
      </c>
      <c r="DE56" s="364" t="n">
        <f aca="false">IF(105&lt;5,0,IF(MAX(CZ38:DE38)&gt;DE43+7+$B$18,1,0))</f>
        <v>0</v>
      </c>
    </row>
    <row r="57" customFormat="false" ht="13.5" hidden="false" customHeight="true" outlineLevel="0" collapsed="false">
      <c r="A57" s="109" t="s">
        <v>1225</v>
      </c>
      <c r="B57" s="223" t="n">
        <f aca="false">$B$26</f>
        <v>160000</v>
      </c>
      <c r="E57" s="364" t="n">
        <f aca="false">IF(1&lt;5,0,IF(MAX(E38)&gt;E43+8+$B$18,1,0))</f>
        <v>0</v>
      </c>
      <c r="F57" s="364" t="n">
        <f aca="false">IF(2&lt;5,0,IF(MAX(E38:F38)&gt;F43+8+$B$18,1,0))</f>
        <v>0</v>
      </c>
      <c r="G57" s="364" t="n">
        <f aca="false">IF(3&lt;5,0,IF(MAX(E38:G38)&gt;G43+8+$B$18,1,0))</f>
        <v>0</v>
      </c>
      <c r="H57" s="364" t="n">
        <f aca="false">IF(4&lt;5,0,IF(MAX(E38:H38)&gt;H43+8+$B$18,1,0))</f>
        <v>0</v>
      </c>
      <c r="I57" s="364" t="n">
        <f aca="false">IF(5&lt;5,0,IF(MAX(E38:I38)&gt;I43+8+$B$18,1,0))</f>
        <v>0</v>
      </c>
      <c r="J57" s="364" t="n">
        <f aca="false">IF(6&lt;5,0,IF(MAX(E38:J38)&gt;J43+8+$B$18,1,0))</f>
        <v>0</v>
      </c>
      <c r="K57" s="364" t="n">
        <f aca="false">IF(7&lt;5,0,IF(MAX(F38:K38)&gt;K43+8+$B$18,1,0))</f>
        <v>0</v>
      </c>
      <c r="L57" s="364" t="n">
        <f aca="false">IF(8&lt;5,0,IF(MAX(G38:L38)&gt;L43+8+$B$18,1,0))</f>
        <v>0</v>
      </c>
      <c r="M57" s="364" t="n">
        <f aca="false">IF(9&lt;5,0,IF(MAX(H38:M38)&gt;M43+8+$B$18,1,0))</f>
        <v>0</v>
      </c>
      <c r="N57" s="364" t="n">
        <f aca="false">IF(10&lt;5,0,IF(MAX(I38:N38)&gt;N43+8+$B$18,1,0))</f>
        <v>0</v>
      </c>
      <c r="O57" s="364" t="n">
        <f aca="false">IF(11&lt;5,0,IF(MAX(J38:O38)&gt;O43+8+$B$18,1,0))</f>
        <v>0</v>
      </c>
      <c r="P57" s="364" t="n">
        <f aca="false">IF(12&lt;5,0,IF(MAX(K38:P38)&gt;P43+8+$B$18,1,0))</f>
        <v>0</v>
      </c>
      <c r="Q57" s="364" t="n">
        <f aca="false">IF(13&lt;5,0,IF(MAX(L38:Q38)&gt;Q43+8+$B$18,1,0))</f>
        <v>0</v>
      </c>
      <c r="R57" s="364" t="n">
        <f aca="false">IF(14&lt;5,0,IF(MAX(M38:R38)&gt;R43+8+$B$18,1,0))</f>
        <v>0</v>
      </c>
      <c r="S57" s="364" t="n">
        <f aca="false">IF(15&lt;5,0,IF(MAX(N38:S38)&gt;S43+8+$B$18,1,0))</f>
        <v>0</v>
      </c>
      <c r="T57" s="364" t="n">
        <f aca="false">IF(16&lt;5,0,IF(MAX(O38:T38)&gt;T43+8+$B$18,1,0))</f>
        <v>0</v>
      </c>
      <c r="U57" s="364" t="n">
        <f aca="false">IF(17&lt;5,0,IF(MAX(P38:U38)&gt;U43+8+$B$18,1,0))</f>
        <v>0</v>
      </c>
      <c r="V57" s="364" t="n">
        <f aca="false">IF(18&lt;5,0,IF(MAX(Q38:V38)&gt;V43+8+$B$18,1,0))</f>
        <v>0</v>
      </c>
      <c r="W57" s="364" t="n">
        <f aca="false">IF(19&lt;5,0,IF(MAX(R38:W38)&gt;W43+8+$B$18,1,0))</f>
        <v>0</v>
      </c>
      <c r="X57" s="364" t="n">
        <f aca="false">IF(20&lt;5,0,IF(MAX(S38:X38)&gt;X43+8+$B$18,1,0))</f>
        <v>0</v>
      </c>
      <c r="Y57" s="364" t="n">
        <f aca="false">IF(21&lt;5,0,IF(MAX(T38:Y38)&gt;Y43+8+$B$18,1,0))</f>
        <v>0</v>
      </c>
      <c r="Z57" s="364" t="n">
        <f aca="false">IF(22&lt;5,0,IF(MAX(U38:Z38)&gt;Z43+8+$B$18,1,0))</f>
        <v>0</v>
      </c>
      <c r="AA57" s="364" t="n">
        <f aca="false">IF(23&lt;5,0,IF(MAX(V38:AA38)&gt;AA43+8+$B$18,1,0))</f>
        <v>0</v>
      </c>
      <c r="AB57" s="364" t="n">
        <f aca="false">IF(24&lt;5,0,IF(MAX(W38:AB38)&gt;AB43+8+$B$18,1,0))</f>
        <v>0</v>
      </c>
      <c r="AC57" s="364" t="n">
        <f aca="false">IF(25&lt;5,0,IF(MAX(X38:AC38)&gt;AC43+8+$B$18,1,0))</f>
        <v>0</v>
      </c>
      <c r="AD57" s="364" t="n">
        <f aca="false">IF(26&lt;5,0,IF(MAX(Y38:AD38)&gt;AD43+8+$B$18,1,0))</f>
        <v>0</v>
      </c>
      <c r="AE57" s="364" t="n">
        <f aca="false">IF(27&lt;5,0,IF(MAX(Z38:AE38)&gt;AE43+8+$B$18,1,0))</f>
        <v>0</v>
      </c>
      <c r="AF57" s="364" t="n">
        <f aca="false">IF(28&lt;5,0,IF(MAX(AA38:AF38)&gt;AF43+8+$B$18,1,0))</f>
        <v>0</v>
      </c>
      <c r="AG57" s="364" t="n">
        <f aca="false">IF(29&lt;5,0,IF(MAX(AB38:AG38)&gt;AG43+8+$B$18,1,0))</f>
        <v>0</v>
      </c>
      <c r="AH57" s="364" t="n">
        <f aca="false">IF(30&lt;5,0,IF(MAX(AC38:AH38)&gt;AH43+8+$B$18,1,0))</f>
        <v>0</v>
      </c>
      <c r="AI57" s="364" t="n">
        <f aca="false">IF(31&lt;5,0,IF(MAX(AD38:AI38)&gt;AI43+8+$B$18,1,0))</f>
        <v>0</v>
      </c>
      <c r="AJ57" s="364" t="n">
        <f aca="false">IF(32&lt;5,0,IF(MAX(AE38:AJ38)&gt;AJ43+8+$B$18,1,0))</f>
        <v>0</v>
      </c>
      <c r="AK57" s="364" t="n">
        <f aca="false">IF(33&lt;5,0,IF(MAX(AF38:AK38)&gt;AK43+8+$B$18,1,0))</f>
        <v>0</v>
      </c>
      <c r="AL57" s="364" t="n">
        <f aca="false">IF(34&lt;5,0,IF(MAX(AG38:AL38)&gt;AL43+8+$B$18,1,0))</f>
        <v>0</v>
      </c>
      <c r="AM57" s="364" t="n">
        <f aca="false">IF(35&lt;5,0,IF(MAX(AH38:AM38)&gt;AM43+8+$B$18,1,0))</f>
        <v>0</v>
      </c>
      <c r="AN57" s="364" t="n">
        <f aca="false">IF(36&lt;5,0,IF(MAX(AI38:AN38)&gt;AN43+8+$B$18,1,0))</f>
        <v>0</v>
      </c>
      <c r="AO57" s="364" t="n">
        <f aca="false">IF(37&lt;5,0,IF(MAX(AJ38:AO38)&gt;AO43+8+$B$18,1,0))</f>
        <v>0</v>
      </c>
      <c r="AP57" s="364" t="n">
        <f aca="false">IF(38&lt;5,0,IF(MAX(AK38:AP38)&gt;AP43+8+$B$18,1,0))</f>
        <v>0</v>
      </c>
      <c r="AQ57" s="364" t="n">
        <f aca="false">IF(39&lt;5,0,IF(MAX(AL38:AQ38)&gt;AQ43+8+$B$18,1,0))</f>
        <v>0</v>
      </c>
      <c r="AR57" s="364" t="n">
        <f aca="false">IF(40&lt;5,0,IF(MAX(AM38:AR38)&gt;AR43+8+$B$18,1,0))</f>
        <v>0</v>
      </c>
      <c r="AS57" s="364" t="n">
        <f aca="false">IF(41&lt;5,0,IF(MAX(AN38:AS38)&gt;AS43+8+$B$18,1,0))</f>
        <v>0</v>
      </c>
      <c r="AT57" s="364" t="n">
        <f aca="false">IF(42&lt;5,0,IF(MAX(AO38:AT38)&gt;AT43+8+$B$18,1,0))</f>
        <v>0</v>
      </c>
      <c r="AU57" s="364" t="n">
        <f aca="false">IF(43&lt;5,0,IF(MAX(AP38:AU38)&gt;AU43+8+$B$18,1,0))</f>
        <v>0</v>
      </c>
      <c r="AV57" s="364" t="n">
        <f aca="false">IF(44&lt;5,0,IF(MAX(AQ38:AV38)&gt;AV43+8+$B$18,1,0))</f>
        <v>0</v>
      </c>
      <c r="AW57" s="364" t="n">
        <f aca="false">IF(45&lt;5,0,IF(MAX(AR38:AW38)&gt;AW43+8+$B$18,1,0))</f>
        <v>0</v>
      </c>
      <c r="AX57" s="364" t="n">
        <f aca="false">IF(46&lt;5,0,IF(MAX(AS38:AX38)&gt;AX43+8+$B$18,1,0))</f>
        <v>0</v>
      </c>
      <c r="AY57" s="364" t="n">
        <f aca="false">IF(47&lt;5,0,IF(MAX(AT38:AY38)&gt;AY43+8+$B$18,1,0))</f>
        <v>0</v>
      </c>
      <c r="AZ57" s="364" t="n">
        <f aca="false">IF(48&lt;5,0,IF(MAX(AU38:AZ38)&gt;AZ43+8+$B$18,1,0))</f>
        <v>0</v>
      </c>
      <c r="BA57" s="364" t="n">
        <f aca="false">IF(49&lt;5,0,IF(MAX(AV38:BA38)&gt;BA43+8+$B$18,1,0))</f>
        <v>0</v>
      </c>
      <c r="BB57" s="364" t="n">
        <f aca="false">IF(50&lt;5,0,IF(MAX(AW38:BB38)&gt;BB43+8+$B$18,1,0))</f>
        <v>0</v>
      </c>
      <c r="BC57" s="364" t="n">
        <f aca="false">IF(51&lt;5,0,IF(MAX(AX38:BC38)&gt;BC43+8+$B$18,1,0))</f>
        <v>0</v>
      </c>
      <c r="BD57" s="364" t="n">
        <f aca="false">IF(52&lt;5,0,IF(MAX(AY38:BD38)&gt;BD43+8+$B$18,1,0))</f>
        <v>0</v>
      </c>
      <c r="BE57" s="364" t="n">
        <f aca="false">IF(53&lt;5,0,IF(MAX(AZ38:BE38)&gt;BE43+8+$B$18,1,0))</f>
        <v>0</v>
      </c>
      <c r="BF57" s="364" t="n">
        <f aca="false">IF(54&lt;5,0,IF(MAX(BA38:BF38)&gt;BF43+8+$B$18,1,0))</f>
        <v>0</v>
      </c>
      <c r="BG57" s="364" t="n">
        <f aca="false">IF(55&lt;5,0,IF(MAX(BB38:BG38)&gt;BG43+8+$B$18,1,0))</f>
        <v>0</v>
      </c>
      <c r="BH57" s="364" t="n">
        <f aca="false">IF(56&lt;5,0,IF(MAX(BC38:BH38)&gt;BH43+8+$B$18,1,0))</f>
        <v>0</v>
      </c>
      <c r="BI57" s="364" t="n">
        <f aca="false">IF(57&lt;5,0,IF(MAX(BD38:BI38)&gt;BI43+8+$B$18,1,0))</f>
        <v>0</v>
      </c>
      <c r="BJ57" s="364" t="n">
        <f aca="false">IF(58&lt;5,0,IF(MAX(BE38:BJ38)&gt;BJ43+8+$B$18,1,0))</f>
        <v>0</v>
      </c>
      <c r="BK57" s="364" t="n">
        <f aca="false">IF(59&lt;5,0,IF(MAX(BF38:BK38)&gt;BK43+8+$B$18,1,0))</f>
        <v>0</v>
      </c>
      <c r="BL57" s="364" t="n">
        <f aca="false">IF(60&lt;5,0,IF(MAX(BG38:BL38)&gt;BL43+8+$B$18,1,0))</f>
        <v>0</v>
      </c>
      <c r="BM57" s="364" t="n">
        <f aca="false">IF(61&lt;5,0,IF(MAX(BH38:BM38)&gt;BM43+8+$B$18,1,0))</f>
        <v>0</v>
      </c>
      <c r="BN57" s="364" t="n">
        <f aca="false">IF(62&lt;5,0,IF(MAX(BI38:BN38)&gt;BN43+8+$B$18,1,0))</f>
        <v>0</v>
      </c>
      <c r="BO57" s="364" t="n">
        <f aca="false">IF(63&lt;5,0,IF(MAX(BJ38:BO38)&gt;BO43+8+$B$18,1,0))</f>
        <v>0</v>
      </c>
      <c r="BP57" s="364" t="n">
        <f aca="false">IF(64&lt;5,0,IF(MAX(BK38:BP38)&gt;BP43+8+$B$18,1,0))</f>
        <v>0</v>
      </c>
      <c r="BQ57" s="364" t="n">
        <f aca="false">IF(65&lt;5,0,IF(MAX(BL38:BQ38)&gt;BQ43+8+$B$18,1,0))</f>
        <v>0</v>
      </c>
      <c r="BR57" s="364" t="n">
        <f aca="false">IF(66&lt;5,0,IF(MAX(BM38:BR38)&gt;BR43+8+$B$18,1,0))</f>
        <v>0</v>
      </c>
      <c r="BS57" s="364" t="n">
        <f aca="false">IF(67&lt;5,0,IF(MAX(BN38:BS38)&gt;BS43+8+$B$18,1,0))</f>
        <v>0</v>
      </c>
      <c r="BT57" s="364" t="n">
        <f aca="false">IF(68&lt;5,0,IF(MAX(BO38:BT38)&gt;BT43+8+$B$18,1,0))</f>
        <v>0</v>
      </c>
      <c r="BU57" s="364" t="n">
        <f aca="false">IF(69&lt;5,0,IF(MAX(BP38:BU38)&gt;BU43+8+$B$18,1,0))</f>
        <v>0</v>
      </c>
      <c r="BV57" s="364" t="n">
        <f aca="false">IF(70&lt;5,0,IF(MAX(BQ38:BV38)&gt;BV43+8+$B$18,1,0))</f>
        <v>0</v>
      </c>
      <c r="BW57" s="364" t="n">
        <f aca="false">IF(71&lt;5,0,IF(MAX(BR38:BW38)&gt;BW43+8+$B$18,1,0))</f>
        <v>0</v>
      </c>
      <c r="BX57" s="364" t="n">
        <f aca="false">IF(72&lt;5,0,IF(MAX(BS38:BX38)&gt;BX43+8+$B$18,1,0))</f>
        <v>0</v>
      </c>
      <c r="BY57" s="364" t="n">
        <f aca="false">IF(73&lt;5,0,IF(MAX(BT38:BY38)&gt;BY43+8+$B$18,1,0))</f>
        <v>0</v>
      </c>
      <c r="BZ57" s="364" t="n">
        <f aca="false">IF(74&lt;5,0,IF(MAX(BU38:BZ38)&gt;BZ43+8+$B$18,1,0))</f>
        <v>0</v>
      </c>
      <c r="CA57" s="364" t="n">
        <f aca="false">IF(75&lt;5,0,IF(MAX(BV38:CA38)&gt;CA43+8+$B$18,1,0))</f>
        <v>0</v>
      </c>
      <c r="CB57" s="364" t="n">
        <f aca="false">IF(76&lt;5,0,IF(MAX(BW38:CB38)&gt;CB43+8+$B$18,1,0))</f>
        <v>0</v>
      </c>
      <c r="CC57" s="364" t="n">
        <f aca="false">IF(77&lt;5,0,IF(MAX(BX38:CC38)&gt;CC43+8+$B$18,1,0))</f>
        <v>0</v>
      </c>
      <c r="CD57" s="364" t="n">
        <f aca="false">IF(78&lt;5,0,IF(MAX(BY38:CD38)&gt;CD43+8+$B$18,1,0))</f>
        <v>0</v>
      </c>
      <c r="CE57" s="364" t="n">
        <f aca="false">IF(79&lt;5,0,IF(MAX(BZ38:CE38)&gt;CE43+8+$B$18,1,0))</f>
        <v>0</v>
      </c>
      <c r="CF57" s="364" t="n">
        <f aca="false">IF(80&lt;5,0,IF(MAX(CA38:CF38)&gt;CF43+8+$B$18,1,0))</f>
        <v>0</v>
      </c>
      <c r="CG57" s="364" t="n">
        <f aca="false">IF(81&lt;5,0,IF(MAX(CB38:CG38)&gt;CG43+8+$B$18,1,0))</f>
        <v>0</v>
      </c>
      <c r="CH57" s="364" t="n">
        <f aca="false">IF(82&lt;5,0,IF(MAX(CC38:CH38)&gt;CH43+8+$B$18,1,0))</f>
        <v>0</v>
      </c>
      <c r="CI57" s="364" t="n">
        <f aca="false">IF(83&lt;5,0,IF(MAX(CD38:CI38)&gt;CI43+8+$B$18,1,0))</f>
        <v>0</v>
      </c>
      <c r="CJ57" s="364" t="n">
        <f aca="false">IF(84&lt;5,0,IF(MAX(CE38:CJ38)&gt;CJ43+8+$B$18,1,0))</f>
        <v>0</v>
      </c>
      <c r="CK57" s="364" t="n">
        <f aca="false">IF(85&lt;5,0,IF(MAX(CF38:CK38)&gt;CK43+8+$B$18,1,0))</f>
        <v>0</v>
      </c>
      <c r="CL57" s="364" t="n">
        <f aca="false">IF(86&lt;5,0,IF(MAX(CG38:CL38)&gt;CL43+8+$B$18,1,0))</f>
        <v>0</v>
      </c>
      <c r="CM57" s="364" t="n">
        <f aca="false">IF(87&lt;5,0,IF(MAX(CH38:CM38)&gt;CM43+8+$B$18,1,0))</f>
        <v>0</v>
      </c>
      <c r="CN57" s="364" t="n">
        <f aca="false">IF(88&lt;5,0,IF(MAX(CI38:CN38)&gt;CN43+8+$B$18,1,0))</f>
        <v>0</v>
      </c>
      <c r="CO57" s="364" t="n">
        <f aca="false">IF(89&lt;5,0,IF(MAX(CJ38:CO38)&gt;CO43+8+$B$18,1,0))</f>
        <v>0</v>
      </c>
      <c r="CP57" s="364" t="n">
        <f aca="false">IF(90&lt;5,0,IF(MAX(CK38:CP38)&gt;CP43+8+$B$18,1,0))</f>
        <v>0</v>
      </c>
      <c r="CQ57" s="364" t="n">
        <f aca="false">IF(91&lt;5,0,IF(MAX(CL38:CQ38)&gt;CQ43+8+$B$18,1,0))</f>
        <v>0</v>
      </c>
      <c r="CR57" s="364" t="n">
        <f aca="false">IF(92&lt;5,0,IF(MAX(CM38:CR38)&gt;CR43+8+$B$18,1,0))</f>
        <v>0</v>
      </c>
      <c r="CS57" s="364" t="n">
        <f aca="false">IF(93&lt;5,0,IF(MAX(CN38:CS38)&gt;CS43+8+$B$18,1,0))</f>
        <v>0</v>
      </c>
      <c r="CT57" s="364" t="n">
        <f aca="false">IF(94&lt;5,0,IF(MAX(CO38:CT38)&gt;CT43+8+$B$18,1,0))</f>
        <v>0</v>
      </c>
      <c r="CU57" s="364" t="n">
        <f aca="false">IF(95&lt;5,0,IF(MAX(CP38:CU38)&gt;CU43+8+$B$18,1,0))</f>
        <v>0</v>
      </c>
      <c r="CV57" s="364" t="n">
        <f aca="false">IF(96&lt;5,0,IF(MAX(CQ38:CV38)&gt;CV43+8+$B$18,1,0))</f>
        <v>0</v>
      </c>
      <c r="CW57" s="364" t="n">
        <f aca="false">IF(97&lt;5,0,IF(MAX(CR38:CW38)&gt;CW43+8+$B$18,1,0))</f>
        <v>0</v>
      </c>
      <c r="CX57" s="364" t="n">
        <f aca="false">IF(98&lt;5,0,IF(MAX(CS38:CX38)&gt;CX43+8+$B$18,1,0))</f>
        <v>0</v>
      </c>
      <c r="CY57" s="364" t="n">
        <f aca="false">IF(99&lt;5,0,IF(MAX(CT38:CY38)&gt;CY43+8+$B$18,1,0))</f>
        <v>0</v>
      </c>
      <c r="CZ57" s="364" t="n">
        <f aca="false">IF(100&lt;5,0,IF(MAX(CU38:CZ38)&gt;CZ43+8+$B$18,1,0))</f>
        <v>0</v>
      </c>
      <c r="DA57" s="364" t="n">
        <f aca="false">IF(101&lt;5,0,IF(MAX(CV38:DA38)&gt;DA43+8+$B$18,1,0))</f>
        <v>0</v>
      </c>
      <c r="DB57" s="364" t="n">
        <f aca="false">IF(102&lt;5,0,IF(MAX(CW38:DB38)&gt;DB43+8+$B$18,1,0))</f>
        <v>0</v>
      </c>
      <c r="DC57" s="364" t="n">
        <f aca="false">IF(103&lt;5,0,IF(MAX(CX38:DC38)&gt;DC43+8+$B$18,1,0))</f>
        <v>0</v>
      </c>
      <c r="DD57" s="364" t="n">
        <f aca="false">IF(104&lt;5,0,IF(MAX(CY38:DD38)&gt;DD43+8+$B$18,1,0))</f>
        <v>0</v>
      </c>
      <c r="DE57" s="364" t="n">
        <f aca="false">IF(105&lt;5,0,IF(MAX(CZ38:DE38)&gt;DE43+8+$B$18,1,0))</f>
        <v>0</v>
      </c>
    </row>
    <row r="58" customFormat="false" ht="13.5" hidden="false" customHeight="true" outlineLevel="0" collapsed="false">
      <c r="A58" s="109" t="s">
        <v>1226</v>
      </c>
      <c r="B58" s="223" t="n">
        <f aca="false">$B$26</f>
        <v>160000</v>
      </c>
      <c r="E58" s="364" t="n">
        <f aca="false">IF(1&lt;5,0,IF(MAX(E38)&gt;E43+9+$B$18,1,0))</f>
        <v>0</v>
      </c>
      <c r="F58" s="364" t="n">
        <f aca="false">IF(2&lt;5,0,IF(MAX(E38:F38)&gt;F43+9+$B$18,1,0))</f>
        <v>0</v>
      </c>
      <c r="G58" s="364" t="n">
        <f aca="false">IF(3&lt;5,0,IF(MAX(E38:G38)&gt;G43+9+$B$18,1,0))</f>
        <v>0</v>
      </c>
      <c r="H58" s="364" t="n">
        <f aca="false">IF(4&lt;5,0,IF(MAX(E38:H38)&gt;H43+9+$B$18,1,0))</f>
        <v>0</v>
      </c>
      <c r="I58" s="364" t="n">
        <f aca="false">IF(5&lt;5,0,IF(MAX(E38:I38)&gt;I43+9+$B$18,1,0))</f>
        <v>0</v>
      </c>
      <c r="J58" s="364" t="n">
        <f aca="false">IF(6&lt;5,0,IF(MAX(E38:J38)&gt;J43+9+$B$18,1,0))</f>
        <v>0</v>
      </c>
      <c r="K58" s="364" t="n">
        <f aca="false">IF(7&lt;5,0,IF(MAX(F38:K38)&gt;K43+9+$B$18,1,0))</f>
        <v>0</v>
      </c>
      <c r="L58" s="364" t="n">
        <f aca="false">IF(8&lt;5,0,IF(MAX(G38:L38)&gt;L43+9+$B$18,1,0))</f>
        <v>0</v>
      </c>
      <c r="M58" s="364" t="n">
        <f aca="false">IF(9&lt;5,0,IF(MAX(H38:M38)&gt;M43+9+$B$18,1,0))</f>
        <v>0</v>
      </c>
      <c r="N58" s="364" t="n">
        <f aca="false">IF(10&lt;5,0,IF(MAX(I38:N38)&gt;N43+9+$B$18,1,0))</f>
        <v>0</v>
      </c>
      <c r="O58" s="364" t="n">
        <f aca="false">IF(11&lt;5,0,IF(MAX(J38:O38)&gt;O43+9+$B$18,1,0))</f>
        <v>0</v>
      </c>
      <c r="P58" s="364" t="n">
        <f aca="false">IF(12&lt;5,0,IF(MAX(K38:P38)&gt;P43+9+$B$18,1,0))</f>
        <v>0</v>
      </c>
      <c r="Q58" s="364" t="n">
        <f aca="false">IF(13&lt;5,0,IF(MAX(L38:Q38)&gt;Q43+9+$B$18,1,0))</f>
        <v>0</v>
      </c>
      <c r="R58" s="364" t="n">
        <f aca="false">IF(14&lt;5,0,IF(MAX(M38:R38)&gt;R43+9+$B$18,1,0))</f>
        <v>0</v>
      </c>
      <c r="S58" s="364" t="n">
        <f aca="false">IF(15&lt;5,0,IF(MAX(N38:S38)&gt;S43+9+$B$18,1,0))</f>
        <v>0</v>
      </c>
      <c r="T58" s="364" t="n">
        <f aca="false">IF(16&lt;5,0,IF(MAX(O38:T38)&gt;T43+9+$B$18,1,0))</f>
        <v>0</v>
      </c>
      <c r="U58" s="364" t="n">
        <f aca="false">IF(17&lt;5,0,IF(MAX(P38:U38)&gt;U43+9+$B$18,1,0))</f>
        <v>0</v>
      </c>
      <c r="V58" s="364" t="n">
        <f aca="false">IF(18&lt;5,0,IF(MAX(Q38:V38)&gt;V43+9+$B$18,1,0))</f>
        <v>0</v>
      </c>
      <c r="W58" s="364" t="n">
        <f aca="false">IF(19&lt;5,0,IF(MAX(R38:W38)&gt;W43+9+$B$18,1,0))</f>
        <v>0</v>
      </c>
      <c r="X58" s="364" t="n">
        <f aca="false">IF(20&lt;5,0,IF(MAX(S38:X38)&gt;X43+9+$B$18,1,0))</f>
        <v>0</v>
      </c>
      <c r="Y58" s="364" t="n">
        <f aca="false">IF(21&lt;5,0,IF(MAX(T38:Y38)&gt;Y43+9+$B$18,1,0))</f>
        <v>0</v>
      </c>
      <c r="Z58" s="364" t="n">
        <f aca="false">IF(22&lt;5,0,IF(MAX(U38:Z38)&gt;Z43+9+$B$18,1,0))</f>
        <v>0</v>
      </c>
      <c r="AA58" s="364" t="n">
        <f aca="false">IF(23&lt;5,0,IF(MAX(V38:AA38)&gt;AA43+9+$B$18,1,0))</f>
        <v>0</v>
      </c>
      <c r="AB58" s="364" t="n">
        <f aca="false">IF(24&lt;5,0,IF(MAX(W38:AB38)&gt;AB43+9+$B$18,1,0))</f>
        <v>0</v>
      </c>
      <c r="AC58" s="364" t="n">
        <f aca="false">IF(25&lt;5,0,IF(MAX(X38:AC38)&gt;AC43+9+$B$18,1,0))</f>
        <v>0</v>
      </c>
      <c r="AD58" s="364" t="n">
        <f aca="false">IF(26&lt;5,0,IF(MAX(Y38:AD38)&gt;AD43+9+$B$18,1,0))</f>
        <v>0</v>
      </c>
      <c r="AE58" s="364" t="n">
        <f aca="false">IF(27&lt;5,0,IF(MAX(Z38:AE38)&gt;AE43+9+$B$18,1,0))</f>
        <v>0</v>
      </c>
      <c r="AF58" s="364" t="n">
        <f aca="false">IF(28&lt;5,0,IF(MAX(AA38:AF38)&gt;AF43+9+$B$18,1,0))</f>
        <v>0</v>
      </c>
      <c r="AG58" s="364" t="n">
        <f aca="false">IF(29&lt;5,0,IF(MAX(AB38:AG38)&gt;AG43+9+$B$18,1,0))</f>
        <v>0</v>
      </c>
      <c r="AH58" s="364" t="n">
        <f aca="false">IF(30&lt;5,0,IF(MAX(AC38:AH38)&gt;AH43+9+$B$18,1,0))</f>
        <v>0</v>
      </c>
      <c r="AI58" s="364" t="n">
        <f aca="false">IF(31&lt;5,0,IF(MAX(AD38:AI38)&gt;AI43+9+$B$18,1,0))</f>
        <v>0</v>
      </c>
      <c r="AJ58" s="364" t="n">
        <f aca="false">IF(32&lt;5,0,IF(MAX(AE38:AJ38)&gt;AJ43+9+$B$18,1,0))</f>
        <v>0</v>
      </c>
      <c r="AK58" s="364" t="n">
        <f aca="false">IF(33&lt;5,0,IF(MAX(AF38:AK38)&gt;AK43+9+$B$18,1,0))</f>
        <v>0</v>
      </c>
      <c r="AL58" s="364" t="n">
        <f aca="false">IF(34&lt;5,0,IF(MAX(AG38:AL38)&gt;AL43+9+$B$18,1,0))</f>
        <v>0</v>
      </c>
      <c r="AM58" s="364" t="n">
        <f aca="false">IF(35&lt;5,0,IF(MAX(AH38:AM38)&gt;AM43+9+$B$18,1,0))</f>
        <v>0</v>
      </c>
      <c r="AN58" s="364" t="n">
        <f aca="false">IF(36&lt;5,0,IF(MAX(AI38:AN38)&gt;AN43+9+$B$18,1,0))</f>
        <v>0</v>
      </c>
      <c r="AO58" s="364" t="n">
        <f aca="false">IF(37&lt;5,0,IF(MAX(AJ38:AO38)&gt;AO43+9+$B$18,1,0))</f>
        <v>0</v>
      </c>
      <c r="AP58" s="364" t="n">
        <f aca="false">IF(38&lt;5,0,IF(MAX(AK38:AP38)&gt;AP43+9+$B$18,1,0))</f>
        <v>0</v>
      </c>
      <c r="AQ58" s="364" t="n">
        <f aca="false">IF(39&lt;5,0,IF(MAX(AL38:AQ38)&gt;AQ43+9+$B$18,1,0))</f>
        <v>0</v>
      </c>
      <c r="AR58" s="364" t="n">
        <f aca="false">IF(40&lt;5,0,IF(MAX(AM38:AR38)&gt;AR43+9+$B$18,1,0))</f>
        <v>0</v>
      </c>
      <c r="AS58" s="364" t="n">
        <f aca="false">IF(41&lt;5,0,IF(MAX(AN38:AS38)&gt;AS43+9+$B$18,1,0))</f>
        <v>0</v>
      </c>
      <c r="AT58" s="364" t="n">
        <f aca="false">IF(42&lt;5,0,IF(MAX(AO38:AT38)&gt;AT43+9+$B$18,1,0))</f>
        <v>0</v>
      </c>
      <c r="AU58" s="364" t="n">
        <f aca="false">IF(43&lt;5,0,IF(MAX(AP38:AU38)&gt;AU43+9+$B$18,1,0))</f>
        <v>0</v>
      </c>
      <c r="AV58" s="364" t="n">
        <f aca="false">IF(44&lt;5,0,IF(MAX(AQ38:AV38)&gt;AV43+9+$B$18,1,0))</f>
        <v>0</v>
      </c>
      <c r="AW58" s="364" t="n">
        <f aca="false">IF(45&lt;5,0,IF(MAX(AR38:AW38)&gt;AW43+9+$B$18,1,0))</f>
        <v>0</v>
      </c>
      <c r="AX58" s="364" t="n">
        <f aca="false">IF(46&lt;5,0,IF(MAX(AS38:AX38)&gt;AX43+9+$B$18,1,0))</f>
        <v>0</v>
      </c>
      <c r="AY58" s="364" t="n">
        <f aca="false">IF(47&lt;5,0,IF(MAX(AT38:AY38)&gt;AY43+9+$B$18,1,0))</f>
        <v>0</v>
      </c>
      <c r="AZ58" s="364" t="n">
        <f aca="false">IF(48&lt;5,0,IF(MAX(AU38:AZ38)&gt;AZ43+9+$B$18,1,0))</f>
        <v>0</v>
      </c>
      <c r="BA58" s="364" t="n">
        <f aca="false">IF(49&lt;5,0,IF(MAX(AV38:BA38)&gt;BA43+9+$B$18,1,0))</f>
        <v>0</v>
      </c>
      <c r="BB58" s="364" t="n">
        <f aca="false">IF(50&lt;5,0,IF(MAX(AW38:BB38)&gt;BB43+9+$B$18,1,0))</f>
        <v>0</v>
      </c>
      <c r="BC58" s="364" t="n">
        <f aca="false">IF(51&lt;5,0,IF(MAX(AX38:BC38)&gt;BC43+9+$B$18,1,0))</f>
        <v>0</v>
      </c>
      <c r="BD58" s="364" t="n">
        <f aca="false">IF(52&lt;5,0,IF(MAX(AY38:BD38)&gt;BD43+9+$B$18,1,0))</f>
        <v>0</v>
      </c>
      <c r="BE58" s="364" t="n">
        <f aca="false">IF(53&lt;5,0,IF(MAX(AZ38:BE38)&gt;BE43+9+$B$18,1,0))</f>
        <v>0</v>
      </c>
      <c r="BF58" s="364" t="n">
        <f aca="false">IF(54&lt;5,0,IF(MAX(BA38:BF38)&gt;BF43+9+$B$18,1,0))</f>
        <v>0</v>
      </c>
      <c r="BG58" s="364" t="n">
        <f aca="false">IF(55&lt;5,0,IF(MAX(BB38:BG38)&gt;BG43+9+$B$18,1,0))</f>
        <v>0</v>
      </c>
      <c r="BH58" s="364" t="n">
        <f aca="false">IF(56&lt;5,0,IF(MAX(BC38:BH38)&gt;BH43+9+$B$18,1,0))</f>
        <v>0</v>
      </c>
      <c r="BI58" s="364" t="n">
        <f aca="false">IF(57&lt;5,0,IF(MAX(BD38:BI38)&gt;BI43+9+$B$18,1,0))</f>
        <v>0</v>
      </c>
      <c r="BJ58" s="364" t="n">
        <f aca="false">IF(58&lt;5,0,IF(MAX(BE38:BJ38)&gt;BJ43+9+$B$18,1,0))</f>
        <v>0</v>
      </c>
      <c r="BK58" s="364" t="n">
        <f aca="false">IF(59&lt;5,0,IF(MAX(BF38:BK38)&gt;BK43+9+$B$18,1,0))</f>
        <v>0</v>
      </c>
      <c r="BL58" s="364" t="n">
        <f aca="false">IF(60&lt;5,0,IF(MAX(BG38:BL38)&gt;BL43+9+$B$18,1,0))</f>
        <v>0</v>
      </c>
      <c r="BM58" s="364" t="n">
        <f aca="false">IF(61&lt;5,0,IF(MAX(BH38:BM38)&gt;BM43+9+$B$18,1,0))</f>
        <v>0</v>
      </c>
      <c r="BN58" s="364" t="n">
        <f aca="false">IF(62&lt;5,0,IF(MAX(BI38:BN38)&gt;BN43+9+$B$18,1,0))</f>
        <v>0</v>
      </c>
      <c r="BO58" s="364" t="n">
        <f aca="false">IF(63&lt;5,0,IF(MAX(BJ38:BO38)&gt;BO43+9+$B$18,1,0))</f>
        <v>0</v>
      </c>
      <c r="BP58" s="364" t="n">
        <f aca="false">IF(64&lt;5,0,IF(MAX(BK38:BP38)&gt;BP43+9+$B$18,1,0))</f>
        <v>0</v>
      </c>
      <c r="BQ58" s="364" t="n">
        <f aca="false">IF(65&lt;5,0,IF(MAX(BL38:BQ38)&gt;BQ43+9+$B$18,1,0))</f>
        <v>0</v>
      </c>
      <c r="BR58" s="364" t="n">
        <f aca="false">IF(66&lt;5,0,IF(MAX(BM38:BR38)&gt;BR43+9+$B$18,1,0))</f>
        <v>0</v>
      </c>
      <c r="BS58" s="364" t="n">
        <f aca="false">IF(67&lt;5,0,IF(MAX(BN38:BS38)&gt;BS43+9+$B$18,1,0))</f>
        <v>0</v>
      </c>
      <c r="BT58" s="364" t="n">
        <f aca="false">IF(68&lt;5,0,IF(MAX(BO38:BT38)&gt;BT43+9+$B$18,1,0))</f>
        <v>0</v>
      </c>
      <c r="BU58" s="364" t="n">
        <f aca="false">IF(69&lt;5,0,IF(MAX(BP38:BU38)&gt;BU43+9+$B$18,1,0))</f>
        <v>0</v>
      </c>
      <c r="BV58" s="364" t="n">
        <f aca="false">IF(70&lt;5,0,IF(MAX(BQ38:BV38)&gt;BV43+9+$B$18,1,0))</f>
        <v>0</v>
      </c>
      <c r="BW58" s="364" t="n">
        <f aca="false">IF(71&lt;5,0,IF(MAX(BR38:BW38)&gt;BW43+9+$B$18,1,0))</f>
        <v>0</v>
      </c>
      <c r="BX58" s="364" t="n">
        <f aca="false">IF(72&lt;5,0,IF(MAX(BS38:BX38)&gt;BX43+9+$B$18,1,0))</f>
        <v>0</v>
      </c>
      <c r="BY58" s="364" t="n">
        <f aca="false">IF(73&lt;5,0,IF(MAX(BT38:BY38)&gt;BY43+9+$B$18,1,0))</f>
        <v>0</v>
      </c>
      <c r="BZ58" s="364" t="n">
        <f aca="false">IF(74&lt;5,0,IF(MAX(BU38:BZ38)&gt;BZ43+9+$B$18,1,0))</f>
        <v>0</v>
      </c>
      <c r="CA58" s="364" t="n">
        <f aca="false">IF(75&lt;5,0,IF(MAX(BV38:CA38)&gt;CA43+9+$B$18,1,0))</f>
        <v>0</v>
      </c>
      <c r="CB58" s="364" t="n">
        <f aca="false">IF(76&lt;5,0,IF(MAX(BW38:CB38)&gt;CB43+9+$B$18,1,0))</f>
        <v>0</v>
      </c>
      <c r="CC58" s="364" t="n">
        <f aca="false">IF(77&lt;5,0,IF(MAX(BX38:CC38)&gt;CC43+9+$B$18,1,0))</f>
        <v>0</v>
      </c>
      <c r="CD58" s="364" t="n">
        <f aca="false">IF(78&lt;5,0,IF(MAX(BY38:CD38)&gt;CD43+9+$B$18,1,0))</f>
        <v>0</v>
      </c>
      <c r="CE58" s="364" t="n">
        <f aca="false">IF(79&lt;5,0,IF(MAX(BZ38:CE38)&gt;CE43+9+$B$18,1,0))</f>
        <v>0</v>
      </c>
      <c r="CF58" s="364" t="n">
        <f aca="false">IF(80&lt;5,0,IF(MAX(CA38:CF38)&gt;CF43+9+$B$18,1,0))</f>
        <v>0</v>
      </c>
      <c r="CG58" s="364" t="n">
        <f aca="false">IF(81&lt;5,0,IF(MAX(CB38:CG38)&gt;CG43+9+$B$18,1,0))</f>
        <v>0</v>
      </c>
      <c r="CH58" s="364" t="n">
        <f aca="false">IF(82&lt;5,0,IF(MAX(CC38:CH38)&gt;CH43+9+$B$18,1,0))</f>
        <v>0</v>
      </c>
      <c r="CI58" s="364" t="n">
        <f aca="false">IF(83&lt;5,0,IF(MAX(CD38:CI38)&gt;CI43+9+$B$18,1,0))</f>
        <v>0</v>
      </c>
      <c r="CJ58" s="364" t="n">
        <f aca="false">IF(84&lt;5,0,IF(MAX(CE38:CJ38)&gt;CJ43+9+$B$18,1,0))</f>
        <v>0</v>
      </c>
      <c r="CK58" s="364" t="n">
        <f aca="false">IF(85&lt;5,0,IF(MAX(CF38:CK38)&gt;CK43+9+$B$18,1,0))</f>
        <v>0</v>
      </c>
      <c r="CL58" s="364" t="n">
        <f aca="false">IF(86&lt;5,0,IF(MAX(CG38:CL38)&gt;CL43+9+$B$18,1,0))</f>
        <v>0</v>
      </c>
      <c r="CM58" s="364" t="n">
        <f aca="false">IF(87&lt;5,0,IF(MAX(CH38:CM38)&gt;CM43+9+$B$18,1,0))</f>
        <v>0</v>
      </c>
      <c r="CN58" s="364" t="n">
        <f aca="false">IF(88&lt;5,0,IF(MAX(CI38:CN38)&gt;CN43+9+$B$18,1,0))</f>
        <v>0</v>
      </c>
      <c r="CO58" s="364" t="n">
        <f aca="false">IF(89&lt;5,0,IF(MAX(CJ38:CO38)&gt;CO43+9+$B$18,1,0))</f>
        <v>0</v>
      </c>
      <c r="CP58" s="364" t="n">
        <f aca="false">IF(90&lt;5,0,IF(MAX(CK38:CP38)&gt;CP43+9+$B$18,1,0))</f>
        <v>0</v>
      </c>
      <c r="CQ58" s="364" t="n">
        <f aca="false">IF(91&lt;5,0,IF(MAX(CL38:CQ38)&gt;CQ43+9+$B$18,1,0))</f>
        <v>0</v>
      </c>
      <c r="CR58" s="364" t="n">
        <f aca="false">IF(92&lt;5,0,IF(MAX(CM38:CR38)&gt;CR43+9+$B$18,1,0))</f>
        <v>0</v>
      </c>
      <c r="CS58" s="364" t="n">
        <f aca="false">IF(93&lt;5,0,IF(MAX(CN38:CS38)&gt;CS43+9+$B$18,1,0))</f>
        <v>0</v>
      </c>
      <c r="CT58" s="364" t="n">
        <f aca="false">IF(94&lt;5,0,IF(MAX(CO38:CT38)&gt;CT43+9+$B$18,1,0))</f>
        <v>0</v>
      </c>
      <c r="CU58" s="364" t="n">
        <f aca="false">IF(95&lt;5,0,IF(MAX(CP38:CU38)&gt;CU43+9+$B$18,1,0))</f>
        <v>0</v>
      </c>
      <c r="CV58" s="364" t="n">
        <f aca="false">IF(96&lt;5,0,IF(MAX(CQ38:CV38)&gt;CV43+9+$B$18,1,0))</f>
        <v>0</v>
      </c>
      <c r="CW58" s="364" t="n">
        <f aca="false">IF(97&lt;5,0,IF(MAX(CR38:CW38)&gt;CW43+9+$B$18,1,0))</f>
        <v>0</v>
      </c>
      <c r="CX58" s="364" t="n">
        <f aca="false">IF(98&lt;5,0,IF(MAX(CS38:CX38)&gt;CX43+9+$B$18,1,0))</f>
        <v>0</v>
      </c>
      <c r="CY58" s="364" t="n">
        <f aca="false">IF(99&lt;5,0,IF(MAX(CT38:CY38)&gt;CY43+9+$B$18,1,0))</f>
        <v>0</v>
      </c>
      <c r="CZ58" s="364" t="n">
        <f aca="false">IF(100&lt;5,0,IF(MAX(CU38:CZ38)&gt;CZ43+9+$B$18,1,0))</f>
        <v>0</v>
      </c>
      <c r="DA58" s="364" t="n">
        <f aca="false">IF(101&lt;5,0,IF(MAX(CV38:DA38)&gt;DA43+9+$B$18,1,0))</f>
        <v>0</v>
      </c>
      <c r="DB58" s="364" t="n">
        <f aca="false">IF(102&lt;5,0,IF(MAX(CW38:DB38)&gt;DB43+9+$B$18,1,0))</f>
        <v>0</v>
      </c>
      <c r="DC58" s="364" t="n">
        <f aca="false">IF(103&lt;5,0,IF(MAX(CX38:DC38)&gt;DC43+9+$B$18,1,0))</f>
        <v>0</v>
      </c>
      <c r="DD58" s="364" t="n">
        <f aca="false">IF(104&lt;5,0,IF(MAX(CY38:DD38)&gt;DD43+9+$B$18,1,0))</f>
        <v>0</v>
      </c>
      <c r="DE58" s="364"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1227</v>
      </c>
      <c r="B61" s="223" t="n">
        <f aca="false">$B$28</f>
        <v>130000</v>
      </c>
      <c r="E61" s="364" t="n">
        <f aca="false">IF(1&lt;5,0,IF(MAX(E39)&gt;E44+0+$B$18,1,0))</f>
        <v>0</v>
      </c>
      <c r="F61" s="364" t="n">
        <f aca="false">IF(2&lt;5,0,IF(MAX(E39:F39)&gt;F44+0+$B$18,1,0))</f>
        <v>0</v>
      </c>
      <c r="G61" s="364" t="n">
        <f aca="false">IF(3&lt;5,0,IF(MAX(E39:G39)&gt;G44+0+$B$18,1,0))</f>
        <v>0</v>
      </c>
      <c r="H61" s="364" t="n">
        <f aca="false">IF(4&lt;5,0,IF(MAX(E39:H39)&gt;H44+0+$B$18,1,0))</f>
        <v>0</v>
      </c>
      <c r="I61" s="364" t="n">
        <f aca="false">IF(5&lt;5,0,IF(MAX(E39:I39)&gt;I44+0+$B$18,1,0))</f>
        <v>0</v>
      </c>
      <c r="J61" s="364" t="n">
        <f aca="false">IF(6&lt;5,0,IF(MAX(E39:J39)&gt;J44+0+$B$18,1,0))</f>
        <v>0</v>
      </c>
      <c r="K61" s="364" t="n">
        <f aca="false">IF(7&lt;5,0,IF(MAX(F39:K39)&gt;K44+0+$B$18,1,0))</f>
        <v>0</v>
      </c>
      <c r="L61" s="364" t="n">
        <f aca="false">IF(8&lt;5,0,IF(MAX(G39:L39)&gt;L44+0+$B$18,1,0))</f>
        <v>0</v>
      </c>
      <c r="M61" s="364" t="n">
        <f aca="false">IF(9&lt;5,0,IF(MAX(H39:M39)&gt;M44+0+$B$18,1,0))</f>
        <v>0</v>
      </c>
      <c r="N61" s="364" t="n">
        <f aca="false">IF(10&lt;5,0,IF(MAX(I39:N39)&gt;N44+0+$B$18,1,0))</f>
        <v>0</v>
      </c>
      <c r="O61" s="364" t="n">
        <f aca="false">IF(11&lt;5,0,IF(MAX(J39:O39)&gt;O44+0+$B$18,1,0))</f>
        <v>0</v>
      </c>
      <c r="P61" s="364" t="n">
        <f aca="false">IF(12&lt;5,0,IF(MAX(K39:P39)&gt;P44+0+$B$18,1,0))</f>
        <v>0</v>
      </c>
      <c r="Q61" s="364" t="n">
        <f aca="false">IF(13&lt;5,0,IF(MAX(L39:Q39)&gt;Q44+0+$B$18,1,0))</f>
        <v>0</v>
      </c>
      <c r="R61" s="364" t="n">
        <f aca="false">IF(14&lt;5,0,IF(MAX(M39:R39)&gt;R44+0+$B$18,1,0))</f>
        <v>0</v>
      </c>
      <c r="S61" s="364" t="n">
        <f aca="false">IF(15&lt;5,0,IF(MAX(N39:S39)&gt;S44+0+$B$18,1,0))</f>
        <v>1</v>
      </c>
      <c r="T61" s="364" t="n">
        <f aca="false">IF(16&lt;5,0,IF(MAX(O39:T39)&gt;T44+0+$B$18,1,0))</f>
        <v>1</v>
      </c>
      <c r="U61" s="364" t="n">
        <f aca="false">IF(17&lt;5,0,IF(MAX(P39:U39)&gt;U44+0+$B$18,1,0))</f>
        <v>1</v>
      </c>
      <c r="V61" s="364" t="n">
        <f aca="false">IF(18&lt;5,0,IF(MAX(Q39:V39)&gt;V44+0+$B$18,1,0))</f>
        <v>1</v>
      </c>
      <c r="W61" s="364" t="n">
        <f aca="false">IF(19&lt;5,0,IF(MAX(R39:W39)&gt;W44+0+$B$18,1,0))</f>
        <v>1</v>
      </c>
      <c r="X61" s="364" t="n">
        <f aca="false">IF(20&lt;5,0,IF(MAX(S39:X39)&gt;X44+0+$B$18,1,0))</f>
        <v>1</v>
      </c>
      <c r="Y61" s="364" t="n">
        <f aca="false">IF(21&lt;5,0,IF(MAX(T39:Y39)&gt;Y44+0+$B$18,1,0))</f>
        <v>1</v>
      </c>
      <c r="Z61" s="364" t="n">
        <f aca="false">IF(22&lt;5,0,IF(MAX(U39:Z39)&gt;Z44+0+$B$18,1,0))</f>
        <v>0</v>
      </c>
      <c r="AA61" s="364" t="n">
        <f aca="false">IF(23&lt;5,0,IF(MAX(V39:AA39)&gt;AA44+0+$B$18,1,0))</f>
        <v>0</v>
      </c>
      <c r="AB61" s="364" t="n">
        <f aca="false">IF(24&lt;5,0,IF(MAX(W39:AB39)&gt;AB44+0+$B$18,1,0))</f>
        <v>0</v>
      </c>
      <c r="AC61" s="364" t="n">
        <f aca="false">IF(25&lt;5,0,IF(MAX(X39:AC39)&gt;AC44+0+$B$18,1,0))</f>
        <v>0</v>
      </c>
      <c r="AD61" s="364" t="n">
        <f aca="false">IF(26&lt;5,0,IF(MAX(Y39:AD39)&gt;AD44+0+$B$18,1,0))</f>
        <v>0</v>
      </c>
      <c r="AE61" s="364" t="n">
        <f aca="false">IF(27&lt;5,0,IF(MAX(Z39:AE39)&gt;AE44+0+$B$18,1,0))</f>
        <v>0</v>
      </c>
      <c r="AF61" s="364" t="n">
        <f aca="false">IF(28&lt;5,0,IF(MAX(AA39:AF39)&gt;AF44+0+$B$18,1,0))</f>
        <v>0</v>
      </c>
      <c r="AG61" s="364" t="n">
        <f aca="false">IF(29&lt;5,0,IF(MAX(AB39:AG39)&gt;AG44+0+$B$18,1,0))</f>
        <v>0</v>
      </c>
      <c r="AH61" s="364" t="n">
        <f aca="false">IF(30&lt;5,0,IF(MAX(AC39:AH39)&gt;AH44+0+$B$18,1,0))</f>
        <v>0</v>
      </c>
      <c r="AI61" s="364" t="n">
        <f aca="false">IF(31&lt;5,0,IF(MAX(AD39:AI39)&gt;AI44+0+$B$18,1,0))</f>
        <v>0</v>
      </c>
      <c r="AJ61" s="364" t="n">
        <f aca="false">IF(32&lt;5,0,IF(MAX(AE39:AJ39)&gt;AJ44+0+$B$18,1,0))</f>
        <v>0</v>
      </c>
      <c r="AK61" s="364" t="n">
        <f aca="false">IF(33&lt;5,0,IF(MAX(AF39:AK39)&gt;AK44+0+$B$18,1,0))</f>
        <v>0</v>
      </c>
      <c r="AL61" s="364" t="n">
        <f aca="false">IF(34&lt;5,0,IF(MAX(AG39:AL39)&gt;AL44+0+$B$18,1,0))</f>
        <v>0</v>
      </c>
      <c r="AM61" s="364" t="n">
        <f aca="false">IF(35&lt;5,0,IF(MAX(AH39:AM39)&gt;AM44+0+$B$18,1,0))</f>
        <v>0</v>
      </c>
      <c r="AN61" s="364" t="n">
        <f aca="false">IF(36&lt;5,0,IF(MAX(AI39:AN39)&gt;AN44+0+$B$18,1,0))</f>
        <v>0</v>
      </c>
      <c r="AO61" s="364" t="n">
        <f aca="false">IF(37&lt;5,0,IF(MAX(AJ39:AO39)&gt;AO44+0+$B$18,1,0))</f>
        <v>0</v>
      </c>
      <c r="AP61" s="364" t="n">
        <f aca="false">IF(38&lt;5,0,IF(MAX(AK39:AP39)&gt;AP44+0+$B$18,1,0))</f>
        <v>0</v>
      </c>
      <c r="AQ61" s="364" t="n">
        <f aca="false">IF(39&lt;5,0,IF(MAX(AL39:AQ39)&gt;AQ44+0+$B$18,1,0))</f>
        <v>0</v>
      </c>
      <c r="AR61" s="364" t="n">
        <f aca="false">IF(40&lt;5,0,IF(MAX(AM39:AR39)&gt;AR44+0+$B$18,1,0))</f>
        <v>0</v>
      </c>
      <c r="AS61" s="364" t="n">
        <f aca="false">IF(41&lt;5,0,IF(MAX(AN39:AS39)&gt;AS44+0+$B$18,1,0))</f>
        <v>0</v>
      </c>
      <c r="AT61" s="364" t="n">
        <f aca="false">IF(42&lt;5,0,IF(MAX(AO39:AT39)&gt;AT44+0+$B$18,1,0))</f>
        <v>0</v>
      </c>
      <c r="AU61" s="364" t="n">
        <f aca="false">IF(43&lt;5,0,IF(MAX(AP39:AU39)&gt;AU44+0+$B$18,1,0))</f>
        <v>0</v>
      </c>
      <c r="AV61" s="364" t="n">
        <f aca="false">IF(44&lt;5,0,IF(MAX(AQ39:AV39)&gt;AV44+0+$B$18,1,0))</f>
        <v>0</v>
      </c>
      <c r="AW61" s="364" t="n">
        <f aca="false">IF(45&lt;5,0,IF(MAX(AR39:AW39)&gt;AW44+0+$B$18,1,0))</f>
        <v>0</v>
      </c>
      <c r="AX61" s="364" t="n">
        <f aca="false">IF(46&lt;5,0,IF(MAX(AS39:AX39)&gt;AX44+0+$B$18,1,0))</f>
        <v>0</v>
      </c>
      <c r="AY61" s="364" t="n">
        <f aca="false">IF(47&lt;5,0,IF(MAX(AT39:AY39)&gt;AY44+0+$B$18,1,0))</f>
        <v>0</v>
      </c>
      <c r="AZ61" s="364" t="n">
        <f aca="false">IF(48&lt;5,0,IF(MAX(AU39:AZ39)&gt;AZ44+0+$B$18,1,0))</f>
        <v>0</v>
      </c>
      <c r="BA61" s="364" t="n">
        <f aca="false">IF(49&lt;5,0,IF(MAX(AV39:BA39)&gt;BA44+0+$B$18,1,0))</f>
        <v>0</v>
      </c>
      <c r="BB61" s="364" t="n">
        <f aca="false">IF(50&lt;5,0,IF(MAX(AW39:BB39)&gt;BB44+0+$B$18,1,0))</f>
        <v>0</v>
      </c>
      <c r="BC61" s="364" t="n">
        <f aca="false">IF(51&lt;5,0,IF(MAX(AX39:BC39)&gt;BC44+0+$B$18,1,0))</f>
        <v>0</v>
      </c>
      <c r="BD61" s="364" t="n">
        <f aca="false">IF(52&lt;5,0,IF(MAX(AY39:BD39)&gt;BD44+0+$B$18,1,0))</f>
        <v>0</v>
      </c>
      <c r="BE61" s="364" t="n">
        <f aca="false">IF(53&lt;5,0,IF(MAX(AZ39:BE39)&gt;BE44+0+$B$18,1,0))</f>
        <v>0</v>
      </c>
      <c r="BF61" s="364" t="n">
        <f aca="false">IF(54&lt;5,0,IF(MAX(BA39:BF39)&gt;BF44+0+$B$18,1,0))</f>
        <v>0</v>
      </c>
      <c r="BG61" s="364" t="n">
        <f aca="false">IF(55&lt;5,0,IF(MAX(BB39:BG39)&gt;BG44+0+$B$18,1,0))</f>
        <v>0</v>
      </c>
      <c r="BH61" s="364" t="n">
        <f aca="false">IF(56&lt;5,0,IF(MAX(BC39:BH39)&gt;BH44+0+$B$18,1,0))</f>
        <v>0</v>
      </c>
      <c r="BI61" s="364" t="n">
        <f aca="false">IF(57&lt;5,0,IF(MAX(BD39:BI39)&gt;BI44+0+$B$18,1,0))</f>
        <v>0</v>
      </c>
      <c r="BJ61" s="364" t="n">
        <f aca="false">IF(58&lt;5,0,IF(MAX(BE39:BJ39)&gt;BJ44+0+$B$18,1,0))</f>
        <v>0</v>
      </c>
      <c r="BK61" s="364" t="n">
        <f aca="false">IF(59&lt;5,0,IF(MAX(BF39:BK39)&gt;BK44+0+$B$18,1,0))</f>
        <v>0</v>
      </c>
      <c r="BL61" s="364" t="n">
        <f aca="false">IF(60&lt;5,0,IF(MAX(BG39:BL39)&gt;BL44+0+$B$18,1,0))</f>
        <v>0</v>
      </c>
      <c r="BM61" s="364" t="n">
        <f aca="false">IF(61&lt;5,0,IF(MAX(BH39:BM39)&gt;BM44+0+$B$18,1,0))</f>
        <v>0</v>
      </c>
      <c r="BN61" s="364" t="n">
        <f aca="false">IF(62&lt;5,0,IF(MAX(BI39:BN39)&gt;BN44+0+$B$18,1,0))</f>
        <v>0</v>
      </c>
      <c r="BO61" s="364" t="n">
        <f aca="false">IF(63&lt;5,0,IF(MAX(BJ39:BO39)&gt;BO44+0+$B$18,1,0))</f>
        <v>0</v>
      </c>
      <c r="BP61" s="364" t="n">
        <f aca="false">IF(64&lt;5,0,IF(MAX(BK39:BP39)&gt;BP44+0+$B$18,1,0))</f>
        <v>0</v>
      </c>
      <c r="BQ61" s="364" t="n">
        <f aca="false">IF(65&lt;5,0,IF(MAX(BL39:BQ39)&gt;BQ44+0+$B$18,1,0))</f>
        <v>0</v>
      </c>
      <c r="BR61" s="364" t="n">
        <f aca="false">IF(66&lt;5,0,IF(MAX(BM39:BR39)&gt;BR44+0+$B$18,1,0))</f>
        <v>0</v>
      </c>
      <c r="BS61" s="364" t="n">
        <f aca="false">IF(67&lt;5,0,IF(MAX(BN39:BS39)&gt;BS44+0+$B$18,1,0))</f>
        <v>0</v>
      </c>
      <c r="BT61" s="364" t="n">
        <f aca="false">IF(68&lt;5,0,IF(MAX(BO39:BT39)&gt;BT44+0+$B$18,1,0))</f>
        <v>0</v>
      </c>
      <c r="BU61" s="364" t="n">
        <f aca="false">IF(69&lt;5,0,IF(MAX(BP39:BU39)&gt;BU44+0+$B$18,1,0))</f>
        <v>0</v>
      </c>
      <c r="BV61" s="364" t="n">
        <f aca="false">IF(70&lt;5,0,IF(MAX(BQ39:BV39)&gt;BV44+0+$B$18,1,0))</f>
        <v>0</v>
      </c>
      <c r="BW61" s="364" t="n">
        <f aca="false">IF(71&lt;5,0,IF(MAX(BR39:BW39)&gt;BW44+0+$B$18,1,0))</f>
        <v>0</v>
      </c>
      <c r="BX61" s="364" t="n">
        <f aca="false">IF(72&lt;5,0,IF(MAX(BS39:BX39)&gt;BX44+0+$B$18,1,0))</f>
        <v>0</v>
      </c>
      <c r="BY61" s="364" t="n">
        <f aca="false">IF(73&lt;5,0,IF(MAX(BT39:BY39)&gt;BY44+0+$B$18,1,0))</f>
        <v>0</v>
      </c>
      <c r="BZ61" s="364" t="n">
        <f aca="false">IF(74&lt;5,0,IF(MAX(BU39:BZ39)&gt;BZ44+0+$B$18,1,0))</f>
        <v>0</v>
      </c>
      <c r="CA61" s="364" t="n">
        <f aca="false">IF(75&lt;5,0,IF(MAX(BV39:CA39)&gt;CA44+0+$B$18,1,0))</f>
        <v>0</v>
      </c>
      <c r="CB61" s="364" t="n">
        <f aca="false">IF(76&lt;5,0,IF(MAX(BW39:CB39)&gt;CB44+0+$B$18,1,0))</f>
        <v>0</v>
      </c>
      <c r="CC61" s="364" t="n">
        <f aca="false">IF(77&lt;5,0,IF(MAX(BX39:CC39)&gt;CC44+0+$B$18,1,0))</f>
        <v>0</v>
      </c>
      <c r="CD61" s="364" t="n">
        <f aca="false">IF(78&lt;5,0,IF(MAX(BY39:CD39)&gt;CD44+0+$B$18,1,0))</f>
        <v>0</v>
      </c>
      <c r="CE61" s="364" t="n">
        <f aca="false">IF(79&lt;5,0,IF(MAX(BZ39:CE39)&gt;CE44+0+$B$18,1,0))</f>
        <v>0</v>
      </c>
      <c r="CF61" s="364" t="n">
        <f aca="false">IF(80&lt;5,0,IF(MAX(CA39:CF39)&gt;CF44+0+$B$18,1,0))</f>
        <v>0</v>
      </c>
      <c r="CG61" s="364" t="n">
        <f aca="false">IF(81&lt;5,0,IF(MAX(CB39:CG39)&gt;CG44+0+$B$18,1,0))</f>
        <v>0</v>
      </c>
      <c r="CH61" s="364" t="n">
        <f aca="false">IF(82&lt;5,0,IF(MAX(CC39:CH39)&gt;CH44+0+$B$18,1,0))</f>
        <v>0</v>
      </c>
      <c r="CI61" s="364" t="n">
        <f aca="false">IF(83&lt;5,0,IF(MAX(CD39:CI39)&gt;CI44+0+$B$18,1,0))</f>
        <v>0</v>
      </c>
      <c r="CJ61" s="364" t="n">
        <f aca="false">IF(84&lt;5,0,IF(MAX(CE39:CJ39)&gt;CJ44+0+$B$18,1,0))</f>
        <v>0</v>
      </c>
      <c r="CK61" s="364" t="n">
        <f aca="false">IF(85&lt;5,0,IF(MAX(CF39:CK39)&gt;CK44+0+$B$18,1,0))</f>
        <v>0</v>
      </c>
      <c r="CL61" s="364" t="n">
        <f aca="false">IF(86&lt;5,0,IF(MAX(CG39:CL39)&gt;CL44+0+$B$18,1,0))</f>
        <v>0</v>
      </c>
      <c r="CM61" s="364" t="n">
        <f aca="false">IF(87&lt;5,0,IF(MAX(CH39:CM39)&gt;CM44+0+$B$18,1,0))</f>
        <v>0</v>
      </c>
      <c r="CN61" s="364" t="n">
        <f aca="false">IF(88&lt;5,0,IF(MAX(CI39:CN39)&gt;CN44+0+$B$18,1,0))</f>
        <v>0</v>
      </c>
      <c r="CO61" s="364" t="n">
        <f aca="false">IF(89&lt;5,0,IF(MAX(CJ39:CO39)&gt;CO44+0+$B$18,1,0))</f>
        <v>0</v>
      </c>
      <c r="CP61" s="364" t="n">
        <f aca="false">IF(90&lt;5,0,IF(MAX(CK39:CP39)&gt;CP44+0+$B$18,1,0))</f>
        <v>0</v>
      </c>
      <c r="CQ61" s="364" t="n">
        <f aca="false">IF(91&lt;5,0,IF(MAX(CL39:CQ39)&gt;CQ44+0+$B$18,1,0))</f>
        <v>0</v>
      </c>
      <c r="CR61" s="364" t="n">
        <f aca="false">IF(92&lt;5,0,IF(MAX(CM39:CR39)&gt;CR44+0+$B$18,1,0))</f>
        <v>0</v>
      </c>
      <c r="CS61" s="364" t="n">
        <f aca="false">IF(93&lt;5,0,IF(MAX(CN39:CS39)&gt;CS44+0+$B$18,1,0))</f>
        <v>0</v>
      </c>
      <c r="CT61" s="364" t="n">
        <f aca="false">IF(94&lt;5,0,IF(MAX(CO39:CT39)&gt;CT44+0+$B$18,1,0))</f>
        <v>0</v>
      </c>
      <c r="CU61" s="364" t="n">
        <f aca="false">IF(95&lt;5,0,IF(MAX(CP39:CU39)&gt;CU44+0+$B$18,1,0))</f>
        <v>0</v>
      </c>
      <c r="CV61" s="364" t="n">
        <f aca="false">IF(96&lt;5,0,IF(MAX(CQ39:CV39)&gt;CV44+0+$B$18,1,0))</f>
        <v>0</v>
      </c>
      <c r="CW61" s="364" t="n">
        <f aca="false">IF(97&lt;5,0,IF(MAX(CR39:CW39)&gt;CW44+0+$B$18,1,0))</f>
        <v>0</v>
      </c>
      <c r="CX61" s="364" t="n">
        <f aca="false">IF(98&lt;5,0,IF(MAX(CS39:CX39)&gt;CX44+0+$B$18,1,0))</f>
        <v>0</v>
      </c>
      <c r="CY61" s="364" t="n">
        <f aca="false">IF(99&lt;5,0,IF(MAX(CT39:CY39)&gt;CY44+0+$B$18,1,0))</f>
        <v>0</v>
      </c>
      <c r="CZ61" s="364" t="n">
        <f aca="false">IF(100&lt;5,0,IF(MAX(CU39:CZ39)&gt;CZ44+0+$B$18,1,0))</f>
        <v>0</v>
      </c>
      <c r="DA61" s="364" t="n">
        <f aca="false">IF(101&lt;5,0,IF(MAX(CV39:DA39)&gt;DA44+0+$B$18,1,0))</f>
        <v>0</v>
      </c>
      <c r="DB61" s="364" t="n">
        <f aca="false">IF(102&lt;5,0,IF(MAX(CW39:DB39)&gt;DB44+0+$B$18,1,0))</f>
        <v>0</v>
      </c>
      <c r="DC61" s="364" t="n">
        <f aca="false">IF(103&lt;5,0,IF(MAX(CX39:DC39)&gt;DC44+0+$B$18,1,0))</f>
        <v>0</v>
      </c>
      <c r="DD61" s="364" t="n">
        <f aca="false">IF(104&lt;5,0,IF(MAX(CY39:DD39)&gt;DD44+0+$B$18,1,0))</f>
        <v>0</v>
      </c>
      <c r="DE61" s="364" t="n">
        <f aca="false">IF(105&lt;5,0,IF(MAX(CZ39:DE39)&gt;DE44+0+$B$18,1,0))</f>
        <v>0</v>
      </c>
    </row>
    <row r="62" customFormat="false" ht="13.5" hidden="false" customHeight="true" outlineLevel="0" collapsed="false">
      <c r="A62" s="109" t="s">
        <v>1228</v>
      </c>
      <c r="B62" s="223" t="n">
        <f aca="false">$B$28</f>
        <v>130000</v>
      </c>
      <c r="E62" s="364" t="n">
        <f aca="false">IF(1&lt;5,0,IF(MAX(E39)&gt;E44+1+$B$18,1,0))</f>
        <v>0</v>
      </c>
      <c r="F62" s="364" t="n">
        <f aca="false">IF(2&lt;5,0,IF(MAX(E39:F39)&gt;F44+1+$B$18,1,0))</f>
        <v>0</v>
      </c>
      <c r="G62" s="364" t="n">
        <f aca="false">IF(3&lt;5,0,IF(MAX(E39:G39)&gt;G44+1+$B$18,1,0))</f>
        <v>0</v>
      </c>
      <c r="H62" s="364" t="n">
        <f aca="false">IF(4&lt;5,0,IF(MAX(E39:H39)&gt;H44+1+$B$18,1,0))</f>
        <v>0</v>
      </c>
      <c r="I62" s="364" t="n">
        <f aca="false">IF(5&lt;5,0,IF(MAX(E39:I39)&gt;I44+1+$B$18,1,0))</f>
        <v>0</v>
      </c>
      <c r="J62" s="364" t="n">
        <f aca="false">IF(6&lt;5,0,IF(MAX(E39:J39)&gt;J44+1+$B$18,1,0))</f>
        <v>0</v>
      </c>
      <c r="K62" s="364" t="n">
        <f aca="false">IF(7&lt;5,0,IF(MAX(F39:K39)&gt;K44+1+$B$18,1,0))</f>
        <v>0</v>
      </c>
      <c r="L62" s="364" t="n">
        <f aca="false">IF(8&lt;5,0,IF(MAX(G39:L39)&gt;L44+1+$B$18,1,0))</f>
        <v>0</v>
      </c>
      <c r="M62" s="364" t="n">
        <f aca="false">IF(9&lt;5,0,IF(MAX(H39:M39)&gt;M44+1+$B$18,1,0))</f>
        <v>0</v>
      </c>
      <c r="N62" s="364" t="n">
        <f aca="false">IF(10&lt;5,0,IF(MAX(I39:N39)&gt;N44+1+$B$18,1,0))</f>
        <v>0</v>
      </c>
      <c r="O62" s="364" t="n">
        <f aca="false">IF(11&lt;5,0,IF(MAX(J39:O39)&gt;O44+1+$B$18,1,0))</f>
        <v>0</v>
      </c>
      <c r="P62" s="364" t="n">
        <f aca="false">IF(12&lt;5,0,IF(MAX(K39:P39)&gt;P44+1+$B$18,1,0))</f>
        <v>0</v>
      </c>
      <c r="Q62" s="364" t="n">
        <f aca="false">IF(13&lt;5,0,IF(MAX(L39:Q39)&gt;Q44+1+$B$18,1,0))</f>
        <v>0</v>
      </c>
      <c r="R62" s="364" t="n">
        <f aca="false">IF(14&lt;5,0,IF(MAX(M39:R39)&gt;R44+1+$B$18,1,0))</f>
        <v>0</v>
      </c>
      <c r="S62" s="364" t="n">
        <f aca="false">IF(15&lt;5,0,IF(MAX(N39:S39)&gt;S44+1+$B$18,1,0))</f>
        <v>0</v>
      </c>
      <c r="T62" s="364" t="n">
        <f aca="false">IF(16&lt;5,0,IF(MAX(O39:T39)&gt;T44+1+$B$18,1,0))</f>
        <v>0</v>
      </c>
      <c r="U62" s="364" t="n">
        <f aca="false">IF(17&lt;5,0,IF(MAX(P39:U39)&gt;U44+1+$B$18,1,0))</f>
        <v>0</v>
      </c>
      <c r="V62" s="364" t="n">
        <f aca="false">IF(18&lt;5,0,IF(MAX(Q39:V39)&gt;V44+1+$B$18,1,0))</f>
        <v>0</v>
      </c>
      <c r="W62" s="364" t="n">
        <f aca="false">IF(19&lt;5,0,IF(MAX(R39:W39)&gt;W44+1+$B$18,1,0))</f>
        <v>0</v>
      </c>
      <c r="X62" s="364" t="n">
        <f aca="false">IF(20&lt;5,0,IF(MAX(S39:X39)&gt;X44+1+$B$18,1,0))</f>
        <v>0</v>
      </c>
      <c r="Y62" s="364" t="n">
        <f aca="false">IF(21&lt;5,0,IF(MAX(T39:Y39)&gt;Y44+1+$B$18,1,0))</f>
        <v>0</v>
      </c>
      <c r="Z62" s="364" t="n">
        <f aca="false">IF(22&lt;5,0,IF(MAX(U39:Z39)&gt;Z44+1+$B$18,1,0))</f>
        <v>0</v>
      </c>
      <c r="AA62" s="364" t="n">
        <f aca="false">IF(23&lt;5,0,IF(MAX(V39:AA39)&gt;AA44+1+$B$18,1,0))</f>
        <v>0</v>
      </c>
      <c r="AB62" s="364" t="n">
        <f aca="false">IF(24&lt;5,0,IF(MAX(W39:AB39)&gt;AB44+1+$B$18,1,0))</f>
        <v>0</v>
      </c>
      <c r="AC62" s="364" t="n">
        <f aca="false">IF(25&lt;5,0,IF(MAX(X39:AC39)&gt;AC44+1+$B$18,1,0))</f>
        <v>0</v>
      </c>
      <c r="AD62" s="364" t="n">
        <f aca="false">IF(26&lt;5,0,IF(MAX(Y39:AD39)&gt;AD44+1+$B$18,1,0))</f>
        <v>0</v>
      </c>
      <c r="AE62" s="364" t="n">
        <f aca="false">IF(27&lt;5,0,IF(MAX(Z39:AE39)&gt;AE44+1+$B$18,1,0))</f>
        <v>0</v>
      </c>
      <c r="AF62" s="364" t="n">
        <f aca="false">IF(28&lt;5,0,IF(MAX(AA39:AF39)&gt;AF44+1+$B$18,1,0))</f>
        <v>0</v>
      </c>
      <c r="AG62" s="364" t="n">
        <f aca="false">IF(29&lt;5,0,IF(MAX(AB39:AG39)&gt;AG44+1+$B$18,1,0))</f>
        <v>0</v>
      </c>
      <c r="AH62" s="364" t="n">
        <f aca="false">IF(30&lt;5,0,IF(MAX(AC39:AH39)&gt;AH44+1+$B$18,1,0))</f>
        <v>0</v>
      </c>
      <c r="AI62" s="364" t="n">
        <f aca="false">IF(31&lt;5,0,IF(MAX(AD39:AI39)&gt;AI44+1+$B$18,1,0))</f>
        <v>0</v>
      </c>
      <c r="AJ62" s="364" t="n">
        <f aca="false">IF(32&lt;5,0,IF(MAX(AE39:AJ39)&gt;AJ44+1+$B$18,1,0))</f>
        <v>0</v>
      </c>
      <c r="AK62" s="364" t="n">
        <f aca="false">IF(33&lt;5,0,IF(MAX(AF39:AK39)&gt;AK44+1+$B$18,1,0))</f>
        <v>0</v>
      </c>
      <c r="AL62" s="364" t="n">
        <f aca="false">IF(34&lt;5,0,IF(MAX(AG39:AL39)&gt;AL44+1+$B$18,1,0))</f>
        <v>0</v>
      </c>
      <c r="AM62" s="364" t="n">
        <f aca="false">IF(35&lt;5,0,IF(MAX(AH39:AM39)&gt;AM44+1+$B$18,1,0))</f>
        <v>0</v>
      </c>
      <c r="AN62" s="364" t="n">
        <f aca="false">IF(36&lt;5,0,IF(MAX(AI39:AN39)&gt;AN44+1+$B$18,1,0))</f>
        <v>0</v>
      </c>
      <c r="AO62" s="364" t="n">
        <f aca="false">IF(37&lt;5,0,IF(MAX(AJ39:AO39)&gt;AO44+1+$B$18,1,0))</f>
        <v>0</v>
      </c>
      <c r="AP62" s="364" t="n">
        <f aca="false">IF(38&lt;5,0,IF(MAX(AK39:AP39)&gt;AP44+1+$B$18,1,0))</f>
        <v>0</v>
      </c>
      <c r="AQ62" s="364" t="n">
        <f aca="false">IF(39&lt;5,0,IF(MAX(AL39:AQ39)&gt;AQ44+1+$B$18,1,0))</f>
        <v>0</v>
      </c>
      <c r="AR62" s="364" t="n">
        <f aca="false">IF(40&lt;5,0,IF(MAX(AM39:AR39)&gt;AR44+1+$B$18,1,0))</f>
        <v>0</v>
      </c>
      <c r="AS62" s="364" t="n">
        <f aca="false">IF(41&lt;5,0,IF(MAX(AN39:AS39)&gt;AS44+1+$B$18,1,0))</f>
        <v>0</v>
      </c>
      <c r="AT62" s="364" t="n">
        <f aca="false">IF(42&lt;5,0,IF(MAX(AO39:AT39)&gt;AT44+1+$B$18,1,0))</f>
        <v>0</v>
      </c>
      <c r="AU62" s="364" t="n">
        <f aca="false">IF(43&lt;5,0,IF(MAX(AP39:AU39)&gt;AU44+1+$B$18,1,0))</f>
        <v>0</v>
      </c>
      <c r="AV62" s="364" t="n">
        <f aca="false">IF(44&lt;5,0,IF(MAX(AQ39:AV39)&gt;AV44+1+$B$18,1,0))</f>
        <v>0</v>
      </c>
      <c r="AW62" s="364" t="n">
        <f aca="false">IF(45&lt;5,0,IF(MAX(AR39:AW39)&gt;AW44+1+$B$18,1,0))</f>
        <v>0</v>
      </c>
      <c r="AX62" s="364" t="n">
        <f aca="false">IF(46&lt;5,0,IF(MAX(AS39:AX39)&gt;AX44+1+$B$18,1,0))</f>
        <v>0</v>
      </c>
      <c r="AY62" s="364" t="n">
        <f aca="false">IF(47&lt;5,0,IF(MAX(AT39:AY39)&gt;AY44+1+$B$18,1,0))</f>
        <v>0</v>
      </c>
      <c r="AZ62" s="364" t="n">
        <f aca="false">IF(48&lt;5,0,IF(MAX(AU39:AZ39)&gt;AZ44+1+$B$18,1,0))</f>
        <v>0</v>
      </c>
      <c r="BA62" s="364" t="n">
        <f aca="false">IF(49&lt;5,0,IF(MAX(AV39:BA39)&gt;BA44+1+$B$18,1,0))</f>
        <v>0</v>
      </c>
      <c r="BB62" s="364" t="n">
        <f aca="false">IF(50&lt;5,0,IF(MAX(AW39:BB39)&gt;BB44+1+$B$18,1,0))</f>
        <v>0</v>
      </c>
      <c r="BC62" s="364" t="n">
        <f aca="false">IF(51&lt;5,0,IF(MAX(AX39:BC39)&gt;BC44+1+$B$18,1,0))</f>
        <v>0</v>
      </c>
      <c r="BD62" s="364" t="n">
        <f aca="false">IF(52&lt;5,0,IF(MAX(AY39:BD39)&gt;BD44+1+$B$18,1,0))</f>
        <v>0</v>
      </c>
      <c r="BE62" s="364" t="n">
        <f aca="false">IF(53&lt;5,0,IF(MAX(AZ39:BE39)&gt;BE44+1+$B$18,1,0))</f>
        <v>0</v>
      </c>
      <c r="BF62" s="364" t="n">
        <f aca="false">IF(54&lt;5,0,IF(MAX(BA39:BF39)&gt;BF44+1+$B$18,1,0))</f>
        <v>0</v>
      </c>
      <c r="BG62" s="364" t="n">
        <f aca="false">IF(55&lt;5,0,IF(MAX(BB39:BG39)&gt;BG44+1+$B$18,1,0))</f>
        <v>0</v>
      </c>
      <c r="BH62" s="364" t="n">
        <f aca="false">IF(56&lt;5,0,IF(MAX(BC39:BH39)&gt;BH44+1+$B$18,1,0))</f>
        <v>0</v>
      </c>
      <c r="BI62" s="364" t="n">
        <f aca="false">IF(57&lt;5,0,IF(MAX(BD39:BI39)&gt;BI44+1+$B$18,1,0))</f>
        <v>0</v>
      </c>
      <c r="BJ62" s="364" t="n">
        <f aca="false">IF(58&lt;5,0,IF(MAX(BE39:BJ39)&gt;BJ44+1+$B$18,1,0))</f>
        <v>0</v>
      </c>
      <c r="BK62" s="364" t="n">
        <f aca="false">IF(59&lt;5,0,IF(MAX(BF39:BK39)&gt;BK44+1+$B$18,1,0))</f>
        <v>0</v>
      </c>
      <c r="BL62" s="364" t="n">
        <f aca="false">IF(60&lt;5,0,IF(MAX(BG39:BL39)&gt;BL44+1+$B$18,1,0))</f>
        <v>0</v>
      </c>
      <c r="BM62" s="364" t="n">
        <f aca="false">IF(61&lt;5,0,IF(MAX(BH39:BM39)&gt;BM44+1+$B$18,1,0))</f>
        <v>0</v>
      </c>
      <c r="BN62" s="364" t="n">
        <f aca="false">IF(62&lt;5,0,IF(MAX(BI39:BN39)&gt;BN44+1+$B$18,1,0))</f>
        <v>0</v>
      </c>
      <c r="BO62" s="364" t="n">
        <f aca="false">IF(63&lt;5,0,IF(MAX(BJ39:BO39)&gt;BO44+1+$B$18,1,0))</f>
        <v>0</v>
      </c>
      <c r="BP62" s="364" t="n">
        <f aca="false">IF(64&lt;5,0,IF(MAX(BK39:BP39)&gt;BP44+1+$B$18,1,0))</f>
        <v>0</v>
      </c>
      <c r="BQ62" s="364" t="n">
        <f aca="false">IF(65&lt;5,0,IF(MAX(BL39:BQ39)&gt;BQ44+1+$B$18,1,0))</f>
        <v>0</v>
      </c>
      <c r="BR62" s="364" t="n">
        <f aca="false">IF(66&lt;5,0,IF(MAX(BM39:BR39)&gt;BR44+1+$B$18,1,0))</f>
        <v>0</v>
      </c>
      <c r="BS62" s="364" t="n">
        <f aca="false">IF(67&lt;5,0,IF(MAX(BN39:BS39)&gt;BS44+1+$B$18,1,0))</f>
        <v>0</v>
      </c>
      <c r="BT62" s="364" t="n">
        <f aca="false">IF(68&lt;5,0,IF(MAX(BO39:BT39)&gt;BT44+1+$B$18,1,0))</f>
        <v>0</v>
      </c>
      <c r="BU62" s="364" t="n">
        <f aca="false">IF(69&lt;5,0,IF(MAX(BP39:BU39)&gt;BU44+1+$B$18,1,0))</f>
        <v>0</v>
      </c>
      <c r="BV62" s="364" t="n">
        <f aca="false">IF(70&lt;5,0,IF(MAX(BQ39:BV39)&gt;BV44+1+$B$18,1,0))</f>
        <v>0</v>
      </c>
      <c r="BW62" s="364" t="n">
        <f aca="false">IF(71&lt;5,0,IF(MAX(BR39:BW39)&gt;BW44+1+$B$18,1,0))</f>
        <v>0</v>
      </c>
      <c r="BX62" s="364" t="n">
        <f aca="false">IF(72&lt;5,0,IF(MAX(BS39:BX39)&gt;BX44+1+$B$18,1,0))</f>
        <v>0</v>
      </c>
      <c r="BY62" s="364" t="n">
        <f aca="false">IF(73&lt;5,0,IF(MAX(BT39:BY39)&gt;BY44+1+$B$18,1,0))</f>
        <v>0</v>
      </c>
      <c r="BZ62" s="364" t="n">
        <f aca="false">IF(74&lt;5,0,IF(MAX(BU39:BZ39)&gt;BZ44+1+$B$18,1,0))</f>
        <v>0</v>
      </c>
      <c r="CA62" s="364" t="n">
        <f aca="false">IF(75&lt;5,0,IF(MAX(BV39:CA39)&gt;CA44+1+$B$18,1,0))</f>
        <v>0</v>
      </c>
      <c r="CB62" s="364" t="n">
        <f aca="false">IF(76&lt;5,0,IF(MAX(BW39:CB39)&gt;CB44+1+$B$18,1,0))</f>
        <v>0</v>
      </c>
      <c r="CC62" s="364" t="n">
        <f aca="false">IF(77&lt;5,0,IF(MAX(BX39:CC39)&gt;CC44+1+$B$18,1,0))</f>
        <v>0</v>
      </c>
      <c r="CD62" s="364" t="n">
        <f aca="false">IF(78&lt;5,0,IF(MAX(BY39:CD39)&gt;CD44+1+$B$18,1,0))</f>
        <v>0</v>
      </c>
      <c r="CE62" s="364" t="n">
        <f aca="false">IF(79&lt;5,0,IF(MAX(BZ39:CE39)&gt;CE44+1+$B$18,1,0))</f>
        <v>0</v>
      </c>
      <c r="CF62" s="364" t="n">
        <f aca="false">IF(80&lt;5,0,IF(MAX(CA39:CF39)&gt;CF44+1+$B$18,1,0))</f>
        <v>0</v>
      </c>
      <c r="CG62" s="364" t="n">
        <f aca="false">IF(81&lt;5,0,IF(MAX(CB39:CG39)&gt;CG44+1+$B$18,1,0))</f>
        <v>0</v>
      </c>
      <c r="CH62" s="364" t="n">
        <f aca="false">IF(82&lt;5,0,IF(MAX(CC39:CH39)&gt;CH44+1+$B$18,1,0))</f>
        <v>0</v>
      </c>
      <c r="CI62" s="364" t="n">
        <f aca="false">IF(83&lt;5,0,IF(MAX(CD39:CI39)&gt;CI44+1+$B$18,1,0))</f>
        <v>0</v>
      </c>
      <c r="CJ62" s="364" t="n">
        <f aca="false">IF(84&lt;5,0,IF(MAX(CE39:CJ39)&gt;CJ44+1+$B$18,1,0))</f>
        <v>0</v>
      </c>
      <c r="CK62" s="364" t="n">
        <f aca="false">IF(85&lt;5,0,IF(MAX(CF39:CK39)&gt;CK44+1+$B$18,1,0))</f>
        <v>0</v>
      </c>
      <c r="CL62" s="364" t="n">
        <f aca="false">IF(86&lt;5,0,IF(MAX(CG39:CL39)&gt;CL44+1+$B$18,1,0))</f>
        <v>0</v>
      </c>
      <c r="CM62" s="364" t="n">
        <f aca="false">IF(87&lt;5,0,IF(MAX(CH39:CM39)&gt;CM44+1+$B$18,1,0))</f>
        <v>0</v>
      </c>
      <c r="CN62" s="364" t="n">
        <f aca="false">IF(88&lt;5,0,IF(MAX(CI39:CN39)&gt;CN44+1+$B$18,1,0))</f>
        <v>0</v>
      </c>
      <c r="CO62" s="364" t="n">
        <f aca="false">IF(89&lt;5,0,IF(MAX(CJ39:CO39)&gt;CO44+1+$B$18,1,0))</f>
        <v>0</v>
      </c>
      <c r="CP62" s="364" t="n">
        <f aca="false">IF(90&lt;5,0,IF(MAX(CK39:CP39)&gt;CP44+1+$B$18,1,0))</f>
        <v>0</v>
      </c>
      <c r="CQ62" s="364" t="n">
        <f aca="false">IF(91&lt;5,0,IF(MAX(CL39:CQ39)&gt;CQ44+1+$B$18,1,0))</f>
        <v>0</v>
      </c>
      <c r="CR62" s="364" t="n">
        <f aca="false">IF(92&lt;5,0,IF(MAX(CM39:CR39)&gt;CR44+1+$B$18,1,0))</f>
        <v>0</v>
      </c>
      <c r="CS62" s="364" t="n">
        <f aca="false">IF(93&lt;5,0,IF(MAX(CN39:CS39)&gt;CS44+1+$B$18,1,0))</f>
        <v>0</v>
      </c>
      <c r="CT62" s="364" t="n">
        <f aca="false">IF(94&lt;5,0,IF(MAX(CO39:CT39)&gt;CT44+1+$B$18,1,0))</f>
        <v>0</v>
      </c>
      <c r="CU62" s="364" t="n">
        <f aca="false">IF(95&lt;5,0,IF(MAX(CP39:CU39)&gt;CU44+1+$B$18,1,0))</f>
        <v>0</v>
      </c>
      <c r="CV62" s="364" t="n">
        <f aca="false">IF(96&lt;5,0,IF(MAX(CQ39:CV39)&gt;CV44+1+$B$18,1,0))</f>
        <v>0</v>
      </c>
      <c r="CW62" s="364" t="n">
        <f aca="false">IF(97&lt;5,0,IF(MAX(CR39:CW39)&gt;CW44+1+$B$18,1,0))</f>
        <v>0</v>
      </c>
      <c r="CX62" s="364" t="n">
        <f aca="false">IF(98&lt;5,0,IF(MAX(CS39:CX39)&gt;CX44+1+$B$18,1,0))</f>
        <v>0</v>
      </c>
      <c r="CY62" s="364" t="n">
        <f aca="false">IF(99&lt;5,0,IF(MAX(CT39:CY39)&gt;CY44+1+$B$18,1,0))</f>
        <v>0</v>
      </c>
      <c r="CZ62" s="364" t="n">
        <f aca="false">IF(100&lt;5,0,IF(MAX(CU39:CZ39)&gt;CZ44+1+$B$18,1,0))</f>
        <v>0</v>
      </c>
      <c r="DA62" s="364" t="n">
        <f aca="false">IF(101&lt;5,0,IF(MAX(CV39:DA39)&gt;DA44+1+$B$18,1,0))</f>
        <v>0</v>
      </c>
      <c r="DB62" s="364" t="n">
        <f aca="false">IF(102&lt;5,0,IF(MAX(CW39:DB39)&gt;DB44+1+$B$18,1,0))</f>
        <v>0</v>
      </c>
      <c r="DC62" s="364" t="n">
        <f aca="false">IF(103&lt;5,0,IF(MAX(CX39:DC39)&gt;DC44+1+$B$18,1,0))</f>
        <v>0</v>
      </c>
      <c r="DD62" s="364" t="n">
        <f aca="false">IF(104&lt;5,0,IF(MAX(CY39:DD39)&gt;DD44+1+$B$18,1,0))</f>
        <v>0</v>
      </c>
      <c r="DE62" s="364" t="n">
        <f aca="false">IF(105&lt;5,0,IF(MAX(CZ39:DE39)&gt;DE44+1+$B$18,1,0))</f>
        <v>0</v>
      </c>
    </row>
    <row r="63" customFormat="false" ht="13.5" hidden="false" customHeight="true" outlineLevel="0" collapsed="false">
      <c r="A63" s="109" t="s">
        <v>1229</v>
      </c>
      <c r="B63" s="223" t="n">
        <f aca="false">$B$28</f>
        <v>130000</v>
      </c>
      <c r="E63" s="364" t="n">
        <f aca="false">IF(1&lt;5,0,IF(MAX(E39)&gt;E44+2+$B$18,1,0))</f>
        <v>0</v>
      </c>
      <c r="F63" s="364" t="n">
        <f aca="false">IF(2&lt;5,0,IF(MAX(E39:F39)&gt;F44+2+$B$18,1,0))</f>
        <v>0</v>
      </c>
      <c r="G63" s="364" t="n">
        <f aca="false">IF(3&lt;5,0,IF(MAX(E39:G39)&gt;G44+2+$B$18,1,0))</f>
        <v>0</v>
      </c>
      <c r="H63" s="364" t="n">
        <f aca="false">IF(4&lt;5,0,IF(MAX(E39:H39)&gt;H44+2+$B$18,1,0))</f>
        <v>0</v>
      </c>
      <c r="I63" s="364" t="n">
        <f aca="false">IF(5&lt;5,0,IF(MAX(E39:I39)&gt;I44+2+$B$18,1,0))</f>
        <v>0</v>
      </c>
      <c r="J63" s="364" t="n">
        <f aca="false">IF(6&lt;5,0,IF(MAX(E39:J39)&gt;J44+2+$B$18,1,0))</f>
        <v>0</v>
      </c>
      <c r="K63" s="364" t="n">
        <f aca="false">IF(7&lt;5,0,IF(MAX(F39:K39)&gt;K44+2+$B$18,1,0))</f>
        <v>0</v>
      </c>
      <c r="L63" s="364" t="n">
        <f aca="false">IF(8&lt;5,0,IF(MAX(G39:L39)&gt;L44+2+$B$18,1,0))</f>
        <v>0</v>
      </c>
      <c r="M63" s="364" t="n">
        <f aca="false">IF(9&lt;5,0,IF(MAX(H39:M39)&gt;M44+2+$B$18,1,0))</f>
        <v>0</v>
      </c>
      <c r="N63" s="364" t="n">
        <f aca="false">IF(10&lt;5,0,IF(MAX(I39:N39)&gt;N44+2+$B$18,1,0))</f>
        <v>0</v>
      </c>
      <c r="O63" s="364" t="n">
        <f aca="false">IF(11&lt;5,0,IF(MAX(J39:O39)&gt;O44+2+$B$18,1,0))</f>
        <v>0</v>
      </c>
      <c r="P63" s="364" t="n">
        <f aca="false">IF(12&lt;5,0,IF(MAX(K39:P39)&gt;P44+2+$B$18,1,0))</f>
        <v>0</v>
      </c>
      <c r="Q63" s="364" t="n">
        <f aca="false">IF(13&lt;5,0,IF(MAX(L39:Q39)&gt;Q44+2+$B$18,1,0))</f>
        <v>0</v>
      </c>
      <c r="R63" s="364" t="n">
        <f aca="false">IF(14&lt;5,0,IF(MAX(M39:R39)&gt;R44+2+$B$18,1,0))</f>
        <v>0</v>
      </c>
      <c r="S63" s="364" t="n">
        <f aca="false">IF(15&lt;5,0,IF(MAX(N39:S39)&gt;S44+2+$B$18,1,0))</f>
        <v>0</v>
      </c>
      <c r="T63" s="364" t="n">
        <f aca="false">IF(16&lt;5,0,IF(MAX(O39:T39)&gt;T44+2+$B$18,1,0))</f>
        <v>0</v>
      </c>
      <c r="U63" s="364" t="n">
        <f aca="false">IF(17&lt;5,0,IF(MAX(P39:U39)&gt;U44+2+$B$18,1,0))</f>
        <v>0</v>
      </c>
      <c r="V63" s="364" t="n">
        <f aca="false">IF(18&lt;5,0,IF(MAX(Q39:V39)&gt;V44+2+$B$18,1,0))</f>
        <v>0</v>
      </c>
      <c r="W63" s="364" t="n">
        <f aca="false">IF(19&lt;5,0,IF(MAX(R39:W39)&gt;W44+2+$B$18,1,0))</f>
        <v>0</v>
      </c>
      <c r="X63" s="364" t="n">
        <f aca="false">IF(20&lt;5,0,IF(MAX(S39:X39)&gt;X44+2+$B$18,1,0))</f>
        <v>0</v>
      </c>
      <c r="Y63" s="364" t="n">
        <f aca="false">IF(21&lt;5,0,IF(MAX(T39:Y39)&gt;Y44+2+$B$18,1,0))</f>
        <v>0</v>
      </c>
      <c r="Z63" s="364" t="n">
        <f aca="false">IF(22&lt;5,0,IF(MAX(U39:Z39)&gt;Z44+2+$B$18,1,0))</f>
        <v>0</v>
      </c>
      <c r="AA63" s="364" t="n">
        <f aca="false">IF(23&lt;5,0,IF(MAX(V39:AA39)&gt;AA44+2+$B$18,1,0))</f>
        <v>0</v>
      </c>
      <c r="AB63" s="364" t="n">
        <f aca="false">IF(24&lt;5,0,IF(MAX(W39:AB39)&gt;AB44+2+$B$18,1,0))</f>
        <v>0</v>
      </c>
      <c r="AC63" s="364" t="n">
        <f aca="false">IF(25&lt;5,0,IF(MAX(X39:AC39)&gt;AC44+2+$B$18,1,0))</f>
        <v>0</v>
      </c>
      <c r="AD63" s="364" t="n">
        <f aca="false">IF(26&lt;5,0,IF(MAX(Y39:AD39)&gt;AD44+2+$B$18,1,0))</f>
        <v>0</v>
      </c>
      <c r="AE63" s="364" t="n">
        <f aca="false">IF(27&lt;5,0,IF(MAX(Z39:AE39)&gt;AE44+2+$B$18,1,0))</f>
        <v>0</v>
      </c>
      <c r="AF63" s="364" t="n">
        <f aca="false">IF(28&lt;5,0,IF(MAX(AA39:AF39)&gt;AF44+2+$B$18,1,0))</f>
        <v>0</v>
      </c>
      <c r="AG63" s="364" t="n">
        <f aca="false">IF(29&lt;5,0,IF(MAX(AB39:AG39)&gt;AG44+2+$B$18,1,0))</f>
        <v>0</v>
      </c>
      <c r="AH63" s="364" t="n">
        <f aca="false">IF(30&lt;5,0,IF(MAX(AC39:AH39)&gt;AH44+2+$B$18,1,0))</f>
        <v>0</v>
      </c>
      <c r="AI63" s="364" t="n">
        <f aca="false">IF(31&lt;5,0,IF(MAX(AD39:AI39)&gt;AI44+2+$B$18,1,0))</f>
        <v>0</v>
      </c>
      <c r="AJ63" s="364" t="n">
        <f aca="false">IF(32&lt;5,0,IF(MAX(AE39:AJ39)&gt;AJ44+2+$B$18,1,0))</f>
        <v>0</v>
      </c>
      <c r="AK63" s="364" t="n">
        <f aca="false">IF(33&lt;5,0,IF(MAX(AF39:AK39)&gt;AK44+2+$B$18,1,0))</f>
        <v>0</v>
      </c>
      <c r="AL63" s="364" t="n">
        <f aca="false">IF(34&lt;5,0,IF(MAX(AG39:AL39)&gt;AL44+2+$B$18,1,0))</f>
        <v>0</v>
      </c>
      <c r="AM63" s="364" t="n">
        <f aca="false">IF(35&lt;5,0,IF(MAX(AH39:AM39)&gt;AM44+2+$B$18,1,0))</f>
        <v>0</v>
      </c>
      <c r="AN63" s="364" t="n">
        <f aca="false">IF(36&lt;5,0,IF(MAX(AI39:AN39)&gt;AN44+2+$B$18,1,0))</f>
        <v>0</v>
      </c>
      <c r="AO63" s="364" t="n">
        <f aca="false">IF(37&lt;5,0,IF(MAX(AJ39:AO39)&gt;AO44+2+$B$18,1,0))</f>
        <v>0</v>
      </c>
      <c r="AP63" s="364" t="n">
        <f aca="false">IF(38&lt;5,0,IF(MAX(AK39:AP39)&gt;AP44+2+$B$18,1,0))</f>
        <v>0</v>
      </c>
      <c r="AQ63" s="364" t="n">
        <f aca="false">IF(39&lt;5,0,IF(MAX(AL39:AQ39)&gt;AQ44+2+$B$18,1,0))</f>
        <v>0</v>
      </c>
      <c r="AR63" s="364" t="n">
        <f aca="false">IF(40&lt;5,0,IF(MAX(AM39:AR39)&gt;AR44+2+$B$18,1,0))</f>
        <v>0</v>
      </c>
      <c r="AS63" s="364" t="n">
        <f aca="false">IF(41&lt;5,0,IF(MAX(AN39:AS39)&gt;AS44+2+$B$18,1,0))</f>
        <v>0</v>
      </c>
      <c r="AT63" s="364" t="n">
        <f aca="false">IF(42&lt;5,0,IF(MAX(AO39:AT39)&gt;AT44+2+$B$18,1,0))</f>
        <v>0</v>
      </c>
      <c r="AU63" s="364" t="n">
        <f aca="false">IF(43&lt;5,0,IF(MAX(AP39:AU39)&gt;AU44+2+$B$18,1,0))</f>
        <v>0</v>
      </c>
      <c r="AV63" s="364" t="n">
        <f aca="false">IF(44&lt;5,0,IF(MAX(AQ39:AV39)&gt;AV44+2+$B$18,1,0))</f>
        <v>0</v>
      </c>
      <c r="AW63" s="364" t="n">
        <f aca="false">IF(45&lt;5,0,IF(MAX(AR39:AW39)&gt;AW44+2+$B$18,1,0))</f>
        <v>0</v>
      </c>
      <c r="AX63" s="364" t="n">
        <f aca="false">IF(46&lt;5,0,IF(MAX(AS39:AX39)&gt;AX44+2+$B$18,1,0))</f>
        <v>0</v>
      </c>
      <c r="AY63" s="364" t="n">
        <f aca="false">IF(47&lt;5,0,IF(MAX(AT39:AY39)&gt;AY44+2+$B$18,1,0))</f>
        <v>0</v>
      </c>
      <c r="AZ63" s="364" t="n">
        <f aca="false">IF(48&lt;5,0,IF(MAX(AU39:AZ39)&gt;AZ44+2+$B$18,1,0))</f>
        <v>0</v>
      </c>
      <c r="BA63" s="364" t="n">
        <f aca="false">IF(49&lt;5,0,IF(MAX(AV39:BA39)&gt;BA44+2+$B$18,1,0))</f>
        <v>0</v>
      </c>
      <c r="BB63" s="364" t="n">
        <f aca="false">IF(50&lt;5,0,IF(MAX(AW39:BB39)&gt;BB44+2+$B$18,1,0))</f>
        <v>0</v>
      </c>
      <c r="BC63" s="364" t="n">
        <f aca="false">IF(51&lt;5,0,IF(MAX(AX39:BC39)&gt;BC44+2+$B$18,1,0))</f>
        <v>0</v>
      </c>
      <c r="BD63" s="364" t="n">
        <f aca="false">IF(52&lt;5,0,IF(MAX(AY39:BD39)&gt;BD44+2+$B$18,1,0))</f>
        <v>0</v>
      </c>
      <c r="BE63" s="364" t="n">
        <f aca="false">IF(53&lt;5,0,IF(MAX(AZ39:BE39)&gt;BE44+2+$B$18,1,0))</f>
        <v>0</v>
      </c>
      <c r="BF63" s="364" t="n">
        <f aca="false">IF(54&lt;5,0,IF(MAX(BA39:BF39)&gt;BF44+2+$B$18,1,0))</f>
        <v>0</v>
      </c>
      <c r="BG63" s="364" t="n">
        <f aca="false">IF(55&lt;5,0,IF(MAX(BB39:BG39)&gt;BG44+2+$B$18,1,0))</f>
        <v>0</v>
      </c>
      <c r="BH63" s="364" t="n">
        <f aca="false">IF(56&lt;5,0,IF(MAX(BC39:BH39)&gt;BH44+2+$B$18,1,0))</f>
        <v>0</v>
      </c>
      <c r="BI63" s="364" t="n">
        <f aca="false">IF(57&lt;5,0,IF(MAX(BD39:BI39)&gt;BI44+2+$B$18,1,0))</f>
        <v>0</v>
      </c>
      <c r="BJ63" s="364" t="n">
        <f aca="false">IF(58&lt;5,0,IF(MAX(BE39:BJ39)&gt;BJ44+2+$B$18,1,0))</f>
        <v>0</v>
      </c>
      <c r="BK63" s="364" t="n">
        <f aca="false">IF(59&lt;5,0,IF(MAX(BF39:BK39)&gt;BK44+2+$B$18,1,0))</f>
        <v>0</v>
      </c>
      <c r="BL63" s="364" t="n">
        <f aca="false">IF(60&lt;5,0,IF(MAX(BG39:BL39)&gt;BL44+2+$B$18,1,0))</f>
        <v>0</v>
      </c>
      <c r="BM63" s="364" t="n">
        <f aca="false">IF(61&lt;5,0,IF(MAX(BH39:BM39)&gt;BM44+2+$B$18,1,0))</f>
        <v>0</v>
      </c>
      <c r="BN63" s="364" t="n">
        <f aca="false">IF(62&lt;5,0,IF(MAX(BI39:BN39)&gt;BN44+2+$B$18,1,0))</f>
        <v>0</v>
      </c>
      <c r="BO63" s="364" t="n">
        <f aca="false">IF(63&lt;5,0,IF(MAX(BJ39:BO39)&gt;BO44+2+$B$18,1,0))</f>
        <v>0</v>
      </c>
      <c r="BP63" s="364" t="n">
        <f aca="false">IF(64&lt;5,0,IF(MAX(BK39:BP39)&gt;BP44+2+$B$18,1,0))</f>
        <v>0</v>
      </c>
      <c r="BQ63" s="364" t="n">
        <f aca="false">IF(65&lt;5,0,IF(MAX(BL39:BQ39)&gt;BQ44+2+$B$18,1,0))</f>
        <v>0</v>
      </c>
      <c r="BR63" s="364" t="n">
        <f aca="false">IF(66&lt;5,0,IF(MAX(BM39:BR39)&gt;BR44+2+$B$18,1,0))</f>
        <v>0</v>
      </c>
      <c r="BS63" s="364" t="n">
        <f aca="false">IF(67&lt;5,0,IF(MAX(BN39:BS39)&gt;BS44+2+$B$18,1,0))</f>
        <v>0</v>
      </c>
      <c r="BT63" s="364" t="n">
        <f aca="false">IF(68&lt;5,0,IF(MAX(BO39:BT39)&gt;BT44+2+$B$18,1,0))</f>
        <v>0</v>
      </c>
      <c r="BU63" s="364" t="n">
        <f aca="false">IF(69&lt;5,0,IF(MAX(BP39:BU39)&gt;BU44+2+$B$18,1,0))</f>
        <v>0</v>
      </c>
      <c r="BV63" s="364" t="n">
        <f aca="false">IF(70&lt;5,0,IF(MAX(BQ39:BV39)&gt;BV44+2+$B$18,1,0))</f>
        <v>0</v>
      </c>
      <c r="BW63" s="364" t="n">
        <f aca="false">IF(71&lt;5,0,IF(MAX(BR39:BW39)&gt;BW44+2+$B$18,1,0))</f>
        <v>0</v>
      </c>
      <c r="BX63" s="364" t="n">
        <f aca="false">IF(72&lt;5,0,IF(MAX(BS39:BX39)&gt;BX44+2+$B$18,1,0))</f>
        <v>0</v>
      </c>
      <c r="BY63" s="364" t="n">
        <f aca="false">IF(73&lt;5,0,IF(MAX(BT39:BY39)&gt;BY44+2+$B$18,1,0))</f>
        <v>0</v>
      </c>
      <c r="BZ63" s="364" t="n">
        <f aca="false">IF(74&lt;5,0,IF(MAX(BU39:BZ39)&gt;BZ44+2+$B$18,1,0))</f>
        <v>0</v>
      </c>
      <c r="CA63" s="364" t="n">
        <f aca="false">IF(75&lt;5,0,IF(MAX(BV39:CA39)&gt;CA44+2+$B$18,1,0))</f>
        <v>0</v>
      </c>
      <c r="CB63" s="364" t="n">
        <f aca="false">IF(76&lt;5,0,IF(MAX(BW39:CB39)&gt;CB44+2+$B$18,1,0))</f>
        <v>0</v>
      </c>
      <c r="CC63" s="364" t="n">
        <f aca="false">IF(77&lt;5,0,IF(MAX(BX39:CC39)&gt;CC44+2+$B$18,1,0))</f>
        <v>0</v>
      </c>
      <c r="CD63" s="364" t="n">
        <f aca="false">IF(78&lt;5,0,IF(MAX(BY39:CD39)&gt;CD44+2+$B$18,1,0))</f>
        <v>0</v>
      </c>
      <c r="CE63" s="364" t="n">
        <f aca="false">IF(79&lt;5,0,IF(MAX(BZ39:CE39)&gt;CE44+2+$B$18,1,0))</f>
        <v>0</v>
      </c>
      <c r="CF63" s="364" t="n">
        <f aca="false">IF(80&lt;5,0,IF(MAX(CA39:CF39)&gt;CF44+2+$B$18,1,0))</f>
        <v>0</v>
      </c>
      <c r="CG63" s="364" t="n">
        <f aca="false">IF(81&lt;5,0,IF(MAX(CB39:CG39)&gt;CG44+2+$B$18,1,0))</f>
        <v>0</v>
      </c>
      <c r="CH63" s="364" t="n">
        <f aca="false">IF(82&lt;5,0,IF(MAX(CC39:CH39)&gt;CH44+2+$B$18,1,0))</f>
        <v>0</v>
      </c>
      <c r="CI63" s="364" t="n">
        <f aca="false">IF(83&lt;5,0,IF(MAX(CD39:CI39)&gt;CI44+2+$B$18,1,0))</f>
        <v>0</v>
      </c>
      <c r="CJ63" s="364" t="n">
        <f aca="false">IF(84&lt;5,0,IF(MAX(CE39:CJ39)&gt;CJ44+2+$B$18,1,0))</f>
        <v>0</v>
      </c>
      <c r="CK63" s="364" t="n">
        <f aca="false">IF(85&lt;5,0,IF(MAX(CF39:CK39)&gt;CK44+2+$B$18,1,0))</f>
        <v>0</v>
      </c>
      <c r="CL63" s="364" t="n">
        <f aca="false">IF(86&lt;5,0,IF(MAX(CG39:CL39)&gt;CL44+2+$B$18,1,0))</f>
        <v>0</v>
      </c>
      <c r="CM63" s="364" t="n">
        <f aca="false">IF(87&lt;5,0,IF(MAX(CH39:CM39)&gt;CM44+2+$B$18,1,0))</f>
        <v>0</v>
      </c>
      <c r="CN63" s="364" t="n">
        <f aca="false">IF(88&lt;5,0,IF(MAX(CI39:CN39)&gt;CN44+2+$B$18,1,0))</f>
        <v>0</v>
      </c>
      <c r="CO63" s="364" t="n">
        <f aca="false">IF(89&lt;5,0,IF(MAX(CJ39:CO39)&gt;CO44+2+$B$18,1,0))</f>
        <v>0</v>
      </c>
      <c r="CP63" s="364" t="n">
        <f aca="false">IF(90&lt;5,0,IF(MAX(CK39:CP39)&gt;CP44+2+$B$18,1,0))</f>
        <v>0</v>
      </c>
      <c r="CQ63" s="364" t="n">
        <f aca="false">IF(91&lt;5,0,IF(MAX(CL39:CQ39)&gt;CQ44+2+$B$18,1,0))</f>
        <v>0</v>
      </c>
      <c r="CR63" s="364" t="n">
        <f aca="false">IF(92&lt;5,0,IF(MAX(CM39:CR39)&gt;CR44+2+$B$18,1,0))</f>
        <v>0</v>
      </c>
      <c r="CS63" s="364" t="n">
        <f aca="false">IF(93&lt;5,0,IF(MAX(CN39:CS39)&gt;CS44+2+$B$18,1,0))</f>
        <v>0</v>
      </c>
      <c r="CT63" s="364" t="n">
        <f aca="false">IF(94&lt;5,0,IF(MAX(CO39:CT39)&gt;CT44+2+$B$18,1,0))</f>
        <v>0</v>
      </c>
      <c r="CU63" s="364" t="n">
        <f aca="false">IF(95&lt;5,0,IF(MAX(CP39:CU39)&gt;CU44+2+$B$18,1,0))</f>
        <v>0</v>
      </c>
      <c r="CV63" s="364" t="n">
        <f aca="false">IF(96&lt;5,0,IF(MAX(CQ39:CV39)&gt;CV44+2+$B$18,1,0))</f>
        <v>0</v>
      </c>
      <c r="CW63" s="364" t="n">
        <f aca="false">IF(97&lt;5,0,IF(MAX(CR39:CW39)&gt;CW44+2+$B$18,1,0))</f>
        <v>0</v>
      </c>
      <c r="CX63" s="364" t="n">
        <f aca="false">IF(98&lt;5,0,IF(MAX(CS39:CX39)&gt;CX44+2+$B$18,1,0))</f>
        <v>0</v>
      </c>
      <c r="CY63" s="364" t="n">
        <f aca="false">IF(99&lt;5,0,IF(MAX(CT39:CY39)&gt;CY44+2+$B$18,1,0))</f>
        <v>0</v>
      </c>
      <c r="CZ63" s="364" t="n">
        <f aca="false">IF(100&lt;5,0,IF(MAX(CU39:CZ39)&gt;CZ44+2+$B$18,1,0))</f>
        <v>0</v>
      </c>
      <c r="DA63" s="364" t="n">
        <f aca="false">IF(101&lt;5,0,IF(MAX(CV39:DA39)&gt;DA44+2+$B$18,1,0))</f>
        <v>0</v>
      </c>
      <c r="DB63" s="364" t="n">
        <f aca="false">IF(102&lt;5,0,IF(MAX(CW39:DB39)&gt;DB44+2+$B$18,1,0))</f>
        <v>0</v>
      </c>
      <c r="DC63" s="364" t="n">
        <f aca="false">IF(103&lt;5,0,IF(MAX(CX39:DC39)&gt;DC44+2+$B$18,1,0))</f>
        <v>0</v>
      </c>
      <c r="DD63" s="364" t="n">
        <f aca="false">IF(104&lt;5,0,IF(MAX(CY39:DD39)&gt;DD44+2+$B$18,1,0))</f>
        <v>0</v>
      </c>
      <c r="DE63" s="364" t="n">
        <f aca="false">IF(105&lt;5,0,IF(MAX(CZ39:DE39)&gt;DE44+2+$B$18,1,0))</f>
        <v>0</v>
      </c>
    </row>
    <row r="64" customFormat="false" ht="13.5" hidden="false" customHeight="true" outlineLevel="0" collapsed="false">
      <c r="A64" s="109" t="s">
        <v>1230</v>
      </c>
      <c r="B64" s="223" t="n">
        <f aca="false">$B$28</f>
        <v>130000</v>
      </c>
      <c r="E64" s="364" t="n">
        <f aca="false">IF(1&lt;5,0,IF(MAX(E39)&gt;E44+3+$B$18,1,0))</f>
        <v>0</v>
      </c>
      <c r="F64" s="364" t="n">
        <f aca="false">IF(2&lt;5,0,IF(MAX(E39:F39)&gt;F44+3+$B$18,1,0))</f>
        <v>0</v>
      </c>
      <c r="G64" s="364" t="n">
        <f aca="false">IF(3&lt;5,0,IF(MAX(E39:G39)&gt;G44+3+$B$18,1,0))</f>
        <v>0</v>
      </c>
      <c r="H64" s="364" t="n">
        <f aca="false">IF(4&lt;5,0,IF(MAX(E39:H39)&gt;H44+3+$B$18,1,0))</f>
        <v>0</v>
      </c>
      <c r="I64" s="364" t="n">
        <f aca="false">IF(5&lt;5,0,IF(MAX(E39:I39)&gt;I44+3+$B$18,1,0))</f>
        <v>0</v>
      </c>
      <c r="J64" s="364" t="n">
        <f aca="false">IF(6&lt;5,0,IF(MAX(E39:J39)&gt;J44+3+$B$18,1,0))</f>
        <v>0</v>
      </c>
      <c r="K64" s="364" t="n">
        <f aca="false">IF(7&lt;5,0,IF(MAX(F39:K39)&gt;K44+3+$B$18,1,0))</f>
        <v>0</v>
      </c>
      <c r="L64" s="364" t="n">
        <f aca="false">IF(8&lt;5,0,IF(MAX(G39:L39)&gt;L44+3+$B$18,1,0))</f>
        <v>0</v>
      </c>
      <c r="M64" s="364" t="n">
        <f aca="false">IF(9&lt;5,0,IF(MAX(H39:M39)&gt;M44+3+$B$18,1,0))</f>
        <v>0</v>
      </c>
      <c r="N64" s="364" t="n">
        <f aca="false">IF(10&lt;5,0,IF(MAX(I39:N39)&gt;N44+3+$B$18,1,0))</f>
        <v>0</v>
      </c>
      <c r="O64" s="364" t="n">
        <f aca="false">IF(11&lt;5,0,IF(MAX(J39:O39)&gt;O44+3+$B$18,1,0))</f>
        <v>0</v>
      </c>
      <c r="P64" s="364" t="n">
        <f aca="false">IF(12&lt;5,0,IF(MAX(K39:P39)&gt;P44+3+$B$18,1,0))</f>
        <v>0</v>
      </c>
      <c r="Q64" s="364" t="n">
        <f aca="false">IF(13&lt;5,0,IF(MAX(L39:Q39)&gt;Q44+3+$B$18,1,0))</f>
        <v>0</v>
      </c>
      <c r="R64" s="364" t="n">
        <f aca="false">IF(14&lt;5,0,IF(MAX(M39:R39)&gt;R44+3+$B$18,1,0))</f>
        <v>0</v>
      </c>
      <c r="S64" s="364" t="n">
        <f aca="false">IF(15&lt;5,0,IF(MAX(N39:S39)&gt;S44+3+$B$18,1,0))</f>
        <v>0</v>
      </c>
      <c r="T64" s="364" t="n">
        <f aca="false">IF(16&lt;5,0,IF(MAX(O39:T39)&gt;T44+3+$B$18,1,0))</f>
        <v>0</v>
      </c>
      <c r="U64" s="364" t="n">
        <f aca="false">IF(17&lt;5,0,IF(MAX(P39:U39)&gt;U44+3+$B$18,1,0))</f>
        <v>0</v>
      </c>
      <c r="V64" s="364" t="n">
        <f aca="false">IF(18&lt;5,0,IF(MAX(Q39:V39)&gt;V44+3+$B$18,1,0))</f>
        <v>0</v>
      </c>
      <c r="W64" s="364" t="n">
        <f aca="false">IF(19&lt;5,0,IF(MAX(R39:W39)&gt;W44+3+$B$18,1,0))</f>
        <v>0</v>
      </c>
      <c r="X64" s="364" t="n">
        <f aca="false">IF(20&lt;5,0,IF(MAX(S39:X39)&gt;X44+3+$B$18,1,0))</f>
        <v>0</v>
      </c>
      <c r="Y64" s="364" t="n">
        <f aca="false">IF(21&lt;5,0,IF(MAX(T39:Y39)&gt;Y44+3+$B$18,1,0))</f>
        <v>0</v>
      </c>
      <c r="Z64" s="364" t="n">
        <f aca="false">IF(22&lt;5,0,IF(MAX(U39:Z39)&gt;Z44+3+$B$18,1,0))</f>
        <v>0</v>
      </c>
      <c r="AA64" s="364" t="n">
        <f aca="false">IF(23&lt;5,0,IF(MAX(V39:AA39)&gt;AA44+3+$B$18,1,0))</f>
        <v>0</v>
      </c>
      <c r="AB64" s="364" t="n">
        <f aca="false">IF(24&lt;5,0,IF(MAX(W39:AB39)&gt;AB44+3+$B$18,1,0))</f>
        <v>0</v>
      </c>
      <c r="AC64" s="364" t="n">
        <f aca="false">IF(25&lt;5,0,IF(MAX(X39:AC39)&gt;AC44+3+$B$18,1,0))</f>
        <v>0</v>
      </c>
      <c r="AD64" s="364" t="n">
        <f aca="false">IF(26&lt;5,0,IF(MAX(Y39:AD39)&gt;AD44+3+$B$18,1,0))</f>
        <v>0</v>
      </c>
      <c r="AE64" s="364" t="n">
        <f aca="false">IF(27&lt;5,0,IF(MAX(Z39:AE39)&gt;AE44+3+$B$18,1,0))</f>
        <v>0</v>
      </c>
      <c r="AF64" s="364" t="n">
        <f aca="false">IF(28&lt;5,0,IF(MAX(AA39:AF39)&gt;AF44+3+$B$18,1,0))</f>
        <v>0</v>
      </c>
      <c r="AG64" s="364" t="n">
        <f aca="false">IF(29&lt;5,0,IF(MAX(AB39:AG39)&gt;AG44+3+$B$18,1,0))</f>
        <v>0</v>
      </c>
      <c r="AH64" s="364" t="n">
        <f aca="false">IF(30&lt;5,0,IF(MAX(AC39:AH39)&gt;AH44+3+$B$18,1,0))</f>
        <v>0</v>
      </c>
      <c r="AI64" s="364" t="n">
        <f aca="false">IF(31&lt;5,0,IF(MAX(AD39:AI39)&gt;AI44+3+$B$18,1,0))</f>
        <v>0</v>
      </c>
      <c r="AJ64" s="364" t="n">
        <f aca="false">IF(32&lt;5,0,IF(MAX(AE39:AJ39)&gt;AJ44+3+$B$18,1,0))</f>
        <v>0</v>
      </c>
      <c r="AK64" s="364" t="n">
        <f aca="false">IF(33&lt;5,0,IF(MAX(AF39:AK39)&gt;AK44+3+$B$18,1,0))</f>
        <v>0</v>
      </c>
      <c r="AL64" s="364" t="n">
        <f aca="false">IF(34&lt;5,0,IF(MAX(AG39:AL39)&gt;AL44+3+$B$18,1,0))</f>
        <v>0</v>
      </c>
      <c r="AM64" s="364" t="n">
        <f aca="false">IF(35&lt;5,0,IF(MAX(AH39:AM39)&gt;AM44+3+$B$18,1,0))</f>
        <v>0</v>
      </c>
      <c r="AN64" s="364" t="n">
        <f aca="false">IF(36&lt;5,0,IF(MAX(AI39:AN39)&gt;AN44+3+$B$18,1,0))</f>
        <v>0</v>
      </c>
      <c r="AO64" s="364" t="n">
        <f aca="false">IF(37&lt;5,0,IF(MAX(AJ39:AO39)&gt;AO44+3+$B$18,1,0))</f>
        <v>0</v>
      </c>
      <c r="AP64" s="364" t="n">
        <f aca="false">IF(38&lt;5,0,IF(MAX(AK39:AP39)&gt;AP44+3+$B$18,1,0))</f>
        <v>0</v>
      </c>
      <c r="AQ64" s="364" t="n">
        <f aca="false">IF(39&lt;5,0,IF(MAX(AL39:AQ39)&gt;AQ44+3+$B$18,1,0))</f>
        <v>0</v>
      </c>
      <c r="AR64" s="364" t="n">
        <f aca="false">IF(40&lt;5,0,IF(MAX(AM39:AR39)&gt;AR44+3+$B$18,1,0))</f>
        <v>0</v>
      </c>
      <c r="AS64" s="364" t="n">
        <f aca="false">IF(41&lt;5,0,IF(MAX(AN39:AS39)&gt;AS44+3+$B$18,1,0))</f>
        <v>0</v>
      </c>
      <c r="AT64" s="364" t="n">
        <f aca="false">IF(42&lt;5,0,IF(MAX(AO39:AT39)&gt;AT44+3+$B$18,1,0))</f>
        <v>0</v>
      </c>
      <c r="AU64" s="364" t="n">
        <f aca="false">IF(43&lt;5,0,IF(MAX(AP39:AU39)&gt;AU44+3+$B$18,1,0))</f>
        <v>0</v>
      </c>
      <c r="AV64" s="364" t="n">
        <f aca="false">IF(44&lt;5,0,IF(MAX(AQ39:AV39)&gt;AV44+3+$B$18,1,0))</f>
        <v>0</v>
      </c>
      <c r="AW64" s="364" t="n">
        <f aca="false">IF(45&lt;5,0,IF(MAX(AR39:AW39)&gt;AW44+3+$B$18,1,0))</f>
        <v>0</v>
      </c>
      <c r="AX64" s="364" t="n">
        <f aca="false">IF(46&lt;5,0,IF(MAX(AS39:AX39)&gt;AX44+3+$B$18,1,0))</f>
        <v>0</v>
      </c>
      <c r="AY64" s="364" t="n">
        <f aca="false">IF(47&lt;5,0,IF(MAX(AT39:AY39)&gt;AY44+3+$B$18,1,0))</f>
        <v>0</v>
      </c>
      <c r="AZ64" s="364" t="n">
        <f aca="false">IF(48&lt;5,0,IF(MAX(AU39:AZ39)&gt;AZ44+3+$B$18,1,0))</f>
        <v>0</v>
      </c>
      <c r="BA64" s="364" t="n">
        <f aca="false">IF(49&lt;5,0,IF(MAX(AV39:BA39)&gt;BA44+3+$B$18,1,0))</f>
        <v>0</v>
      </c>
      <c r="BB64" s="364" t="n">
        <f aca="false">IF(50&lt;5,0,IF(MAX(AW39:BB39)&gt;BB44+3+$B$18,1,0))</f>
        <v>0</v>
      </c>
      <c r="BC64" s="364" t="n">
        <f aca="false">IF(51&lt;5,0,IF(MAX(AX39:BC39)&gt;BC44+3+$B$18,1,0))</f>
        <v>0</v>
      </c>
      <c r="BD64" s="364" t="n">
        <f aca="false">IF(52&lt;5,0,IF(MAX(AY39:BD39)&gt;BD44+3+$B$18,1,0))</f>
        <v>0</v>
      </c>
      <c r="BE64" s="364" t="n">
        <f aca="false">IF(53&lt;5,0,IF(MAX(AZ39:BE39)&gt;BE44+3+$B$18,1,0))</f>
        <v>0</v>
      </c>
      <c r="BF64" s="364" t="n">
        <f aca="false">IF(54&lt;5,0,IF(MAX(BA39:BF39)&gt;BF44+3+$B$18,1,0))</f>
        <v>0</v>
      </c>
      <c r="BG64" s="364" t="n">
        <f aca="false">IF(55&lt;5,0,IF(MAX(BB39:BG39)&gt;BG44+3+$B$18,1,0))</f>
        <v>0</v>
      </c>
      <c r="BH64" s="364" t="n">
        <f aca="false">IF(56&lt;5,0,IF(MAX(BC39:BH39)&gt;BH44+3+$B$18,1,0))</f>
        <v>0</v>
      </c>
      <c r="BI64" s="364" t="n">
        <f aca="false">IF(57&lt;5,0,IF(MAX(BD39:BI39)&gt;BI44+3+$B$18,1,0))</f>
        <v>0</v>
      </c>
      <c r="BJ64" s="364" t="n">
        <f aca="false">IF(58&lt;5,0,IF(MAX(BE39:BJ39)&gt;BJ44+3+$B$18,1,0))</f>
        <v>0</v>
      </c>
      <c r="BK64" s="364" t="n">
        <f aca="false">IF(59&lt;5,0,IF(MAX(BF39:BK39)&gt;BK44+3+$B$18,1,0))</f>
        <v>0</v>
      </c>
      <c r="BL64" s="364" t="n">
        <f aca="false">IF(60&lt;5,0,IF(MAX(BG39:BL39)&gt;BL44+3+$B$18,1,0))</f>
        <v>0</v>
      </c>
      <c r="BM64" s="364" t="n">
        <f aca="false">IF(61&lt;5,0,IF(MAX(BH39:BM39)&gt;BM44+3+$B$18,1,0))</f>
        <v>0</v>
      </c>
      <c r="BN64" s="364" t="n">
        <f aca="false">IF(62&lt;5,0,IF(MAX(BI39:BN39)&gt;BN44+3+$B$18,1,0))</f>
        <v>0</v>
      </c>
      <c r="BO64" s="364" t="n">
        <f aca="false">IF(63&lt;5,0,IF(MAX(BJ39:BO39)&gt;BO44+3+$B$18,1,0))</f>
        <v>0</v>
      </c>
      <c r="BP64" s="364" t="n">
        <f aca="false">IF(64&lt;5,0,IF(MAX(BK39:BP39)&gt;BP44+3+$B$18,1,0))</f>
        <v>0</v>
      </c>
      <c r="BQ64" s="364" t="n">
        <f aca="false">IF(65&lt;5,0,IF(MAX(BL39:BQ39)&gt;BQ44+3+$B$18,1,0))</f>
        <v>0</v>
      </c>
      <c r="BR64" s="364" t="n">
        <f aca="false">IF(66&lt;5,0,IF(MAX(BM39:BR39)&gt;BR44+3+$B$18,1,0))</f>
        <v>0</v>
      </c>
      <c r="BS64" s="364" t="n">
        <f aca="false">IF(67&lt;5,0,IF(MAX(BN39:BS39)&gt;BS44+3+$B$18,1,0))</f>
        <v>0</v>
      </c>
      <c r="BT64" s="364" t="n">
        <f aca="false">IF(68&lt;5,0,IF(MAX(BO39:BT39)&gt;BT44+3+$B$18,1,0))</f>
        <v>0</v>
      </c>
      <c r="BU64" s="364" t="n">
        <f aca="false">IF(69&lt;5,0,IF(MAX(BP39:BU39)&gt;BU44+3+$B$18,1,0))</f>
        <v>0</v>
      </c>
      <c r="BV64" s="364" t="n">
        <f aca="false">IF(70&lt;5,0,IF(MAX(BQ39:BV39)&gt;BV44+3+$B$18,1,0))</f>
        <v>0</v>
      </c>
      <c r="BW64" s="364" t="n">
        <f aca="false">IF(71&lt;5,0,IF(MAX(BR39:BW39)&gt;BW44+3+$B$18,1,0))</f>
        <v>0</v>
      </c>
      <c r="BX64" s="364" t="n">
        <f aca="false">IF(72&lt;5,0,IF(MAX(BS39:BX39)&gt;BX44+3+$B$18,1,0))</f>
        <v>0</v>
      </c>
      <c r="BY64" s="364" t="n">
        <f aca="false">IF(73&lt;5,0,IF(MAX(BT39:BY39)&gt;BY44+3+$B$18,1,0))</f>
        <v>0</v>
      </c>
      <c r="BZ64" s="364" t="n">
        <f aca="false">IF(74&lt;5,0,IF(MAX(BU39:BZ39)&gt;BZ44+3+$B$18,1,0))</f>
        <v>0</v>
      </c>
      <c r="CA64" s="364" t="n">
        <f aca="false">IF(75&lt;5,0,IF(MAX(BV39:CA39)&gt;CA44+3+$B$18,1,0))</f>
        <v>0</v>
      </c>
      <c r="CB64" s="364" t="n">
        <f aca="false">IF(76&lt;5,0,IF(MAX(BW39:CB39)&gt;CB44+3+$B$18,1,0))</f>
        <v>0</v>
      </c>
      <c r="CC64" s="364" t="n">
        <f aca="false">IF(77&lt;5,0,IF(MAX(BX39:CC39)&gt;CC44+3+$B$18,1,0))</f>
        <v>0</v>
      </c>
      <c r="CD64" s="364" t="n">
        <f aca="false">IF(78&lt;5,0,IF(MAX(BY39:CD39)&gt;CD44+3+$B$18,1,0))</f>
        <v>0</v>
      </c>
      <c r="CE64" s="364" t="n">
        <f aca="false">IF(79&lt;5,0,IF(MAX(BZ39:CE39)&gt;CE44+3+$B$18,1,0))</f>
        <v>0</v>
      </c>
      <c r="CF64" s="364" t="n">
        <f aca="false">IF(80&lt;5,0,IF(MAX(CA39:CF39)&gt;CF44+3+$B$18,1,0))</f>
        <v>0</v>
      </c>
      <c r="CG64" s="364" t="n">
        <f aca="false">IF(81&lt;5,0,IF(MAX(CB39:CG39)&gt;CG44+3+$B$18,1,0))</f>
        <v>0</v>
      </c>
      <c r="CH64" s="364" t="n">
        <f aca="false">IF(82&lt;5,0,IF(MAX(CC39:CH39)&gt;CH44+3+$B$18,1,0))</f>
        <v>0</v>
      </c>
      <c r="CI64" s="364" t="n">
        <f aca="false">IF(83&lt;5,0,IF(MAX(CD39:CI39)&gt;CI44+3+$B$18,1,0))</f>
        <v>0</v>
      </c>
      <c r="CJ64" s="364" t="n">
        <f aca="false">IF(84&lt;5,0,IF(MAX(CE39:CJ39)&gt;CJ44+3+$B$18,1,0))</f>
        <v>0</v>
      </c>
      <c r="CK64" s="364" t="n">
        <f aca="false">IF(85&lt;5,0,IF(MAX(CF39:CK39)&gt;CK44+3+$B$18,1,0))</f>
        <v>0</v>
      </c>
      <c r="CL64" s="364" t="n">
        <f aca="false">IF(86&lt;5,0,IF(MAX(CG39:CL39)&gt;CL44+3+$B$18,1,0))</f>
        <v>0</v>
      </c>
      <c r="CM64" s="364" t="n">
        <f aca="false">IF(87&lt;5,0,IF(MAX(CH39:CM39)&gt;CM44+3+$B$18,1,0))</f>
        <v>0</v>
      </c>
      <c r="CN64" s="364" t="n">
        <f aca="false">IF(88&lt;5,0,IF(MAX(CI39:CN39)&gt;CN44+3+$B$18,1,0))</f>
        <v>0</v>
      </c>
      <c r="CO64" s="364" t="n">
        <f aca="false">IF(89&lt;5,0,IF(MAX(CJ39:CO39)&gt;CO44+3+$B$18,1,0))</f>
        <v>0</v>
      </c>
      <c r="CP64" s="364" t="n">
        <f aca="false">IF(90&lt;5,0,IF(MAX(CK39:CP39)&gt;CP44+3+$B$18,1,0))</f>
        <v>0</v>
      </c>
      <c r="CQ64" s="364" t="n">
        <f aca="false">IF(91&lt;5,0,IF(MAX(CL39:CQ39)&gt;CQ44+3+$B$18,1,0))</f>
        <v>0</v>
      </c>
      <c r="CR64" s="364" t="n">
        <f aca="false">IF(92&lt;5,0,IF(MAX(CM39:CR39)&gt;CR44+3+$B$18,1,0))</f>
        <v>0</v>
      </c>
      <c r="CS64" s="364" t="n">
        <f aca="false">IF(93&lt;5,0,IF(MAX(CN39:CS39)&gt;CS44+3+$B$18,1,0))</f>
        <v>0</v>
      </c>
      <c r="CT64" s="364" t="n">
        <f aca="false">IF(94&lt;5,0,IF(MAX(CO39:CT39)&gt;CT44+3+$B$18,1,0))</f>
        <v>0</v>
      </c>
      <c r="CU64" s="364" t="n">
        <f aca="false">IF(95&lt;5,0,IF(MAX(CP39:CU39)&gt;CU44+3+$B$18,1,0))</f>
        <v>0</v>
      </c>
      <c r="CV64" s="364" t="n">
        <f aca="false">IF(96&lt;5,0,IF(MAX(CQ39:CV39)&gt;CV44+3+$B$18,1,0))</f>
        <v>0</v>
      </c>
      <c r="CW64" s="364" t="n">
        <f aca="false">IF(97&lt;5,0,IF(MAX(CR39:CW39)&gt;CW44+3+$B$18,1,0))</f>
        <v>0</v>
      </c>
      <c r="CX64" s="364" t="n">
        <f aca="false">IF(98&lt;5,0,IF(MAX(CS39:CX39)&gt;CX44+3+$B$18,1,0))</f>
        <v>0</v>
      </c>
      <c r="CY64" s="364" t="n">
        <f aca="false">IF(99&lt;5,0,IF(MAX(CT39:CY39)&gt;CY44+3+$B$18,1,0))</f>
        <v>0</v>
      </c>
      <c r="CZ64" s="364" t="n">
        <f aca="false">IF(100&lt;5,0,IF(MAX(CU39:CZ39)&gt;CZ44+3+$B$18,1,0))</f>
        <v>0</v>
      </c>
      <c r="DA64" s="364" t="n">
        <f aca="false">IF(101&lt;5,0,IF(MAX(CV39:DA39)&gt;DA44+3+$B$18,1,0))</f>
        <v>0</v>
      </c>
      <c r="DB64" s="364" t="n">
        <f aca="false">IF(102&lt;5,0,IF(MAX(CW39:DB39)&gt;DB44+3+$B$18,1,0))</f>
        <v>0</v>
      </c>
      <c r="DC64" s="364" t="n">
        <f aca="false">IF(103&lt;5,0,IF(MAX(CX39:DC39)&gt;DC44+3+$B$18,1,0))</f>
        <v>0</v>
      </c>
      <c r="DD64" s="364" t="n">
        <f aca="false">IF(104&lt;5,0,IF(MAX(CY39:DD39)&gt;DD44+3+$B$18,1,0))</f>
        <v>0</v>
      </c>
      <c r="DE64" s="364" t="n">
        <f aca="false">IF(105&lt;5,0,IF(MAX(CZ39:DE39)&gt;DE44+3+$B$18,1,0))</f>
        <v>0</v>
      </c>
    </row>
    <row r="65" customFormat="false" ht="13.5" hidden="false" customHeight="true" outlineLevel="0" collapsed="false">
      <c r="A65" s="109" t="s">
        <v>1231</v>
      </c>
      <c r="B65" s="223" t="n">
        <f aca="false">$B$28</f>
        <v>130000</v>
      </c>
      <c r="E65" s="364" t="n">
        <f aca="false">IF(1&lt;5,0,IF(MAX(E39)&gt;E44+4+$B$18,1,0))</f>
        <v>0</v>
      </c>
      <c r="F65" s="364" t="n">
        <f aca="false">IF(2&lt;5,0,IF(MAX(E39:F39)&gt;F44+4+$B$18,1,0))</f>
        <v>0</v>
      </c>
      <c r="G65" s="364" t="n">
        <f aca="false">IF(3&lt;5,0,IF(MAX(E39:G39)&gt;G44+4+$B$18,1,0))</f>
        <v>0</v>
      </c>
      <c r="H65" s="364" t="n">
        <f aca="false">IF(4&lt;5,0,IF(MAX(E39:H39)&gt;H44+4+$B$18,1,0))</f>
        <v>0</v>
      </c>
      <c r="I65" s="364" t="n">
        <f aca="false">IF(5&lt;5,0,IF(MAX(E39:I39)&gt;I44+4+$B$18,1,0))</f>
        <v>0</v>
      </c>
      <c r="J65" s="364" t="n">
        <f aca="false">IF(6&lt;5,0,IF(MAX(E39:J39)&gt;J44+4+$B$18,1,0))</f>
        <v>0</v>
      </c>
      <c r="K65" s="364" t="n">
        <f aca="false">IF(7&lt;5,0,IF(MAX(F39:K39)&gt;K44+4+$B$18,1,0))</f>
        <v>0</v>
      </c>
      <c r="L65" s="364" t="n">
        <f aca="false">IF(8&lt;5,0,IF(MAX(G39:L39)&gt;L44+4+$B$18,1,0))</f>
        <v>0</v>
      </c>
      <c r="M65" s="364" t="n">
        <f aca="false">IF(9&lt;5,0,IF(MAX(H39:M39)&gt;M44+4+$B$18,1,0))</f>
        <v>0</v>
      </c>
      <c r="N65" s="364" t="n">
        <f aca="false">IF(10&lt;5,0,IF(MAX(I39:N39)&gt;N44+4+$B$18,1,0))</f>
        <v>0</v>
      </c>
      <c r="O65" s="364" t="n">
        <f aca="false">IF(11&lt;5,0,IF(MAX(J39:O39)&gt;O44+4+$B$18,1,0))</f>
        <v>0</v>
      </c>
      <c r="P65" s="364" t="n">
        <f aca="false">IF(12&lt;5,0,IF(MAX(K39:P39)&gt;P44+4+$B$18,1,0))</f>
        <v>0</v>
      </c>
      <c r="Q65" s="364" t="n">
        <f aca="false">IF(13&lt;5,0,IF(MAX(L39:Q39)&gt;Q44+4+$B$18,1,0))</f>
        <v>0</v>
      </c>
      <c r="R65" s="364" t="n">
        <f aca="false">IF(14&lt;5,0,IF(MAX(M39:R39)&gt;R44+4+$B$18,1,0))</f>
        <v>0</v>
      </c>
      <c r="S65" s="364" t="n">
        <f aca="false">IF(15&lt;5,0,IF(MAX(N39:S39)&gt;S44+4+$B$18,1,0))</f>
        <v>0</v>
      </c>
      <c r="T65" s="364" t="n">
        <f aca="false">IF(16&lt;5,0,IF(MAX(O39:T39)&gt;T44+4+$B$18,1,0))</f>
        <v>0</v>
      </c>
      <c r="U65" s="364" t="n">
        <f aca="false">IF(17&lt;5,0,IF(MAX(P39:U39)&gt;U44+4+$B$18,1,0))</f>
        <v>0</v>
      </c>
      <c r="V65" s="364" t="n">
        <f aca="false">IF(18&lt;5,0,IF(MAX(Q39:V39)&gt;V44+4+$B$18,1,0))</f>
        <v>0</v>
      </c>
      <c r="W65" s="364" t="n">
        <f aca="false">IF(19&lt;5,0,IF(MAX(R39:W39)&gt;W44+4+$B$18,1,0))</f>
        <v>0</v>
      </c>
      <c r="X65" s="364" t="n">
        <f aca="false">IF(20&lt;5,0,IF(MAX(S39:X39)&gt;X44+4+$B$18,1,0))</f>
        <v>0</v>
      </c>
      <c r="Y65" s="364" t="n">
        <f aca="false">IF(21&lt;5,0,IF(MAX(T39:Y39)&gt;Y44+4+$B$18,1,0))</f>
        <v>0</v>
      </c>
      <c r="Z65" s="364" t="n">
        <f aca="false">IF(22&lt;5,0,IF(MAX(U39:Z39)&gt;Z44+4+$B$18,1,0))</f>
        <v>0</v>
      </c>
      <c r="AA65" s="364" t="n">
        <f aca="false">IF(23&lt;5,0,IF(MAX(V39:AA39)&gt;AA44+4+$B$18,1,0))</f>
        <v>0</v>
      </c>
      <c r="AB65" s="364" t="n">
        <f aca="false">IF(24&lt;5,0,IF(MAX(W39:AB39)&gt;AB44+4+$B$18,1,0))</f>
        <v>0</v>
      </c>
      <c r="AC65" s="364" t="n">
        <f aca="false">IF(25&lt;5,0,IF(MAX(X39:AC39)&gt;AC44+4+$B$18,1,0))</f>
        <v>0</v>
      </c>
      <c r="AD65" s="364" t="n">
        <f aca="false">IF(26&lt;5,0,IF(MAX(Y39:AD39)&gt;AD44+4+$B$18,1,0))</f>
        <v>0</v>
      </c>
      <c r="AE65" s="364" t="n">
        <f aca="false">IF(27&lt;5,0,IF(MAX(Z39:AE39)&gt;AE44+4+$B$18,1,0))</f>
        <v>0</v>
      </c>
      <c r="AF65" s="364" t="n">
        <f aca="false">IF(28&lt;5,0,IF(MAX(AA39:AF39)&gt;AF44+4+$B$18,1,0))</f>
        <v>0</v>
      </c>
      <c r="AG65" s="364" t="n">
        <f aca="false">IF(29&lt;5,0,IF(MAX(AB39:AG39)&gt;AG44+4+$B$18,1,0))</f>
        <v>0</v>
      </c>
      <c r="AH65" s="364" t="n">
        <f aca="false">IF(30&lt;5,0,IF(MAX(AC39:AH39)&gt;AH44+4+$B$18,1,0))</f>
        <v>0</v>
      </c>
      <c r="AI65" s="364" t="n">
        <f aca="false">IF(31&lt;5,0,IF(MAX(AD39:AI39)&gt;AI44+4+$B$18,1,0))</f>
        <v>0</v>
      </c>
      <c r="AJ65" s="364" t="n">
        <f aca="false">IF(32&lt;5,0,IF(MAX(AE39:AJ39)&gt;AJ44+4+$B$18,1,0))</f>
        <v>0</v>
      </c>
      <c r="AK65" s="364" t="n">
        <f aca="false">IF(33&lt;5,0,IF(MAX(AF39:AK39)&gt;AK44+4+$B$18,1,0))</f>
        <v>0</v>
      </c>
      <c r="AL65" s="364" t="n">
        <f aca="false">IF(34&lt;5,0,IF(MAX(AG39:AL39)&gt;AL44+4+$B$18,1,0))</f>
        <v>0</v>
      </c>
      <c r="AM65" s="364" t="n">
        <f aca="false">IF(35&lt;5,0,IF(MAX(AH39:AM39)&gt;AM44+4+$B$18,1,0))</f>
        <v>0</v>
      </c>
      <c r="AN65" s="364" t="n">
        <f aca="false">IF(36&lt;5,0,IF(MAX(AI39:AN39)&gt;AN44+4+$B$18,1,0))</f>
        <v>0</v>
      </c>
      <c r="AO65" s="364" t="n">
        <f aca="false">IF(37&lt;5,0,IF(MAX(AJ39:AO39)&gt;AO44+4+$B$18,1,0))</f>
        <v>0</v>
      </c>
      <c r="AP65" s="364" t="n">
        <f aca="false">IF(38&lt;5,0,IF(MAX(AK39:AP39)&gt;AP44+4+$B$18,1,0))</f>
        <v>0</v>
      </c>
      <c r="AQ65" s="364" t="n">
        <f aca="false">IF(39&lt;5,0,IF(MAX(AL39:AQ39)&gt;AQ44+4+$B$18,1,0))</f>
        <v>0</v>
      </c>
      <c r="AR65" s="364" t="n">
        <f aca="false">IF(40&lt;5,0,IF(MAX(AM39:AR39)&gt;AR44+4+$B$18,1,0))</f>
        <v>0</v>
      </c>
      <c r="AS65" s="364" t="n">
        <f aca="false">IF(41&lt;5,0,IF(MAX(AN39:AS39)&gt;AS44+4+$B$18,1,0))</f>
        <v>0</v>
      </c>
      <c r="AT65" s="364" t="n">
        <f aca="false">IF(42&lt;5,0,IF(MAX(AO39:AT39)&gt;AT44+4+$B$18,1,0))</f>
        <v>0</v>
      </c>
      <c r="AU65" s="364" t="n">
        <f aca="false">IF(43&lt;5,0,IF(MAX(AP39:AU39)&gt;AU44+4+$B$18,1,0))</f>
        <v>0</v>
      </c>
      <c r="AV65" s="364" t="n">
        <f aca="false">IF(44&lt;5,0,IF(MAX(AQ39:AV39)&gt;AV44+4+$B$18,1,0))</f>
        <v>0</v>
      </c>
      <c r="AW65" s="364" t="n">
        <f aca="false">IF(45&lt;5,0,IF(MAX(AR39:AW39)&gt;AW44+4+$B$18,1,0))</f>
        <v>0</v>
      </c>
      <c r="AX65" s="364" t="n">
        <f aca="false">IF(46&lt;5,0,IF(MAX(AS39:AX39)&gt;AX44+4+$B$18,1,0))</f>
        <v>0</v>
      </c>
      <c r="AY65" s="364" t="n">
        <f aca="false">IF(47&lt;5,0,IF(MAX(AT39:AY39)&gt;AY44+4+$B$18,1,0))</f>
        <v>0</v>
      </c>
      <c r="AZ65" s="364" t="n">
        <f aca="false">IF(48&lt;5,0,IF(MAX(AU39:AZ39)&gt;AZ44+4+$B$18,1,0))</f>
        <v>0</v>
      </c>
      <c r="BA65" s="364" t="n">
        <f aca="false">IF(49&lt;5,0,IF(MAX(AV39:BA39)&gt;BA44+4+$B$18,1,0))</f>
        <v>0</v>
      </c>
      <c r="BB65" s="364" t="n">
        <f aca="false">IF(50&lt;5,0,IF(MAX(AW39:BB39)&gt;BB44+4+$B$18,1,0))</f>
        <v>0</v>
      </c>
      <c r="BC65" s="364" t="n">
        <f aca="false">IF(51&lt;5,0,IF(MAX(AX39:BC39)&gt;BC44+4+$B$18,1,0))</f>
        <v>0</v>
      </c>
      <c r="BD65" s="364" t="n">
        <f aca="false">IF(52&lt;5,0,IF(MAX(AY39:BD39)&gt;BD44+4+$B$18,1,0))</f>
        <v>0</v>
      </c>
      <c r="BE65" s="364" t="n">
        <f aca="false">IF(53&lt;5,0,IF(MAX(AZ39:BE39)&gt;BE44+4+$B$18,1,0))</f>
        <v>0</v>
      </c>
      <c r="BF65" s="364" t="n">
        <f aca="false">IF(54&lt;5,0,IF(MAX(BA39:BF39)&gt;BF44+4+$B$18,1,0))</f>
        <v>0</v>
      </c>
      <c r="BG65" s="364" t="n">
        <f aca="false">IF(55&lt;5,0,IF(MAX(BB39:BG39)&gt;BG44+4+$B$18,1,0))</f>
        <v>0</v>
      </c>
      <c r="BH65" s="364" t="n">
        <f aca="false">IF(56&lt;5,0,IF(MAX(BC39:BH39)&gt;BH44+4+$B$18,1,0))</f>
        <v>0</v>
      </c>
      <c r="BI65" s="364" t="n">
        <f aca="false">IF(57&lt;5,0,IF(MAX(BD39:BI39)&gt;BI44+4+$B$18,1,0))</f>
        <v>0</v>
      </c>
      <c r="BJ65" s="364" t="n">
        <f aca="false">IF(58&lt;5,0,IF(MAX(BE39:BJ39)&gt;BJ44+4+$B$18,1,0))</f>
        <v>0</v>
      </c>
      <c r="BK65" s="364" t="n">
        <f aca="false">IF(59&lt;5,0,IF(MAX(BF39:BK39)&gt;BK44+4+$B$18,1,0))</f>
        <v>0</v>
      </c>
      <c r="BL65" s="364" t="n">
        <f aca="false">IF(60&lt;5,0,IF(MAX(BG39:BL39)&gt;BL44+4+$B$18,1,0))</f>
        <v>0</v>
      </c>
      <c r="BM65" s="364" t="n">
        <f aca="false">IF(61&lt;5,0,IF(MAX(BH39:BM39)&gt;BM44+4+$B$18,1,0))</f>
        <v>0</v>
      </c>
      <c r="BN65" s="364" t="n">
        <f aca="false">IF(62&lt;5,0,IF(MAX(BI39:BN39)&gt;BN44+4+$B$18,1,0))</f>
        <v>0</v>
      </c>
      <c r="BO65" s="364" t="n">
        <f aca="false">IF(63&lt;5,0,IF(MAX(BJ39:BO39)&gt;BO44+4+$B$18,1,0))</f>
        <v>0</v>
      </c>
      <c r="BP65" s="364" t="n">
        <f aca="false">IF(64&lt;5,0,IF(MAX(BK39:BP39)&gt;BP44+4+$B$18,1,0))</f>
        <v>0</v>
      </c>
      <c r="BQ65" s="364" t="n">
        <f aca="false">IF(65&lt;5,0,IF(MAX(BL39:BQ39)&gt;BQ44+4+$B$18,1,0))</f>
        <v>0</v>
      </c>
      <c r="BR65" s="364" t="n">
        <f aca="false">IF(66&lt;5,0,IF(MAX(BM39:BR39)&gt;BR44+4+$B$18,1,0))</f>
        <v>0</v>
      </c>
      <c r="BS65" s="364" t="n">
        <f aca="false">IF(67&lt;5,0,IF(MAX(BN39:BS39)&gt;BS44+4+$B$18,1,0))</f>
        <v>0</v>
      </c>
      <c r="BT65" s="364" t="n">
        <f aca="false">IF(68&lt;5,0,IF(MAX(BO39:BT39)&gt;BT44+4+$B$18,1,0))</f>
        <v>0</v>
      </c>
      <c r="BU65" s="364" t="n">
        <f aca="false">IF(69&lt;5,0,IF(MAX(BP39:BU39)&gt;BU44+4+$B$18,1,0))</f>
        <v>0</v>
      </c>
      <c r="BV65" s="364" t="n">
        <f aca="false">IF(70&lt;5,0,IF(MAX(BQ39:BV39)&gt;BV44+4+$B$18,1,0))</f>
        <v>0</v>
      </c>
      <c r="BW65" s="364" t="n">
        <f aca="false">IF(71&lt;5,0,IF(MAX(BR39:BW39)&gt;BW44+4+$B$18,1,0))</f>
        <v>0</v>
      </c>
      <c r="BX65" s="364" t="n">
        <f aca="false">IF(72&lt;5,0,IF(MAX(BS39:BX39)&gt;BX44+4+$B$18,1,0))</f>
        <v>0</v>
      </c>
      <c r="BY65" s="364" t="n">
        <f aca="false">IF(73&lt;5,0,IF(MAX(BT39:BY39)&gt;BY44+4+$B$18,1,0))</f>
        <v>0</v>
      </c>
      <c r="BZ65" s="364" t="n">
        <f aca="false">IF(74&lt;5,0,IF(MAX(BU39:BZ39)&gt;BZ44+4+$B$18,1,0))</f>
        <v>0</v>
      </c>
      <c r="CA65" s="364" t="n">
        <f aca="false">IF(75&lt;5,0,IF(MAX(BV39:CA39)&gt;CA44+4+$B$18,1,0))</f>
        <v>0</v>
      </c>
      <c r="CB65" s="364" t="n">
        <f aca="false">IF(76&lt;5,0,IF(MAX(BW39:CB39)&gt;CB44+4+$B$18,1,0))</f>
        <v>0</v>
      </c>
      <c r="CC65" s="364" t="n">
        <f aca="false">IF(77&lt;5,0,IF(MAX(BX39:CC39)&gt;CC44+4+$B$18,1,0))</f>
        <v>0</v>
      </c>
      <c r="CD65" s="364" t="n">
        <f aca="false">IF(78&lt;5,0,IF(MAX(BY39:CD39)&gt;CD44+4+$B$18,1,0))</f>
        <v>0</v>
      </c>
      <c r="CE65" s="364" t="n">
        <f aca="false">IF(79&lt;5,0,IF(MAX(BZ39:CE39)&gt;CE44+4+$B$18,1,0))</f>
        <v>0</v>
      </c>
      <c r="CF65" s="364" t="n">
        <f aca="false">IF(80&lt;5,0,IF(MAX(CA39:CF39)&gt;CF44+4+$B$18,1,0))</f>
        <v>0</v>
      </c>
      <c r="CG65" s="364" t="n">
        <f aca="false">IF(81&lt;5,0,IF(MAX(CB39:CG39)&gt;CG44+4+$B$18,1,0))</f>
        <v>0</v>
      </c>
      <c r="CH65" s="364" t="n">
        <f aca="false">IF(82&lt;5,0,IF(MAX(CC39:CH39)&gt;CH44+4+$B$18,1,0))</f>
        <v>0</v>
      </c>
      <c r="CI65" s="364" t="n">
        <f aca="false">IF(83&lt;5,0,IF(MAX(CD39:CI39)&gt;CI44+4+$B$18,1,0))</f>
        <v>0</v>
      </c>
      <c r="CJ65" s="364" t="n">
        <f aca="false">IF(84&lt;5,0,IF(MAX(CE39:CJ39)&gt;CJ44+4+$B$18,1,0))</f>
        <v>0</v>
      </c>
      <c r="CK65" s="364" t="n">
        <f aca="false">IF(85&lt;5,0,IF(MAX(CF39:CK39)&gt;CK44+4+$B$18,1,0))</f>
        <v>0</v>
      </c>
      <c r="CL65" s="364" t="n">
        <f aca="false">IF(86&lt;5,0,IF(MAX(CG39:CL39)&gt;CL44+4+$B$18,1,0))</f>
        <v>0</v>
      </c>
      <c r="CM65" s="364" t="n">
        <f aca="false">IF(87&lt;5,0,IF(MAX(CH39:CM39)&gt;CM44+4+$B$18,1,0))</f>
        <v>0</v>
      </c>
      <c r="CN65" s="364" t="n">
        <f aca="false">IF(88&lt;5,0,IF(MAX(CI39:CN39)&gt;CN44+4+$B$18,1,0))</f>
        <v>0</v>
      </c>
      <c r="CO65" s="364" t="n">
        <f aca="false">IF(89&lt;5,0,IF(MAX(CJ39:CO39)&gt;CO44+4+$B$18,1,0))</f>
        <v>0</v>
      </c>
      <c r="CP65" s="364" t="n">
        <f aca="false">IF(90&lt;5,0,IF(MAX(CK39:CP39)&gt;CP44+4+$B$18,1,0))</f>
        <v>0</v>
      </c>
      <c r="CQ65" s="364" t="n">
        <f aca="false">IF(91&lt;5,0,IF(MAX(CL39:CQ39)&gt;CQ44+4+$B$18,1,0))</f>
        <v>0</v>
      </c>
      <c r="CR65" s="364" t="n">
        <f aca="false">IF(92&lt;5,0,IF(MAX(CM39:CR39)&gt;CR44+4+$B$18,1,0))</f>
        <v>0</v>
      </c>
      <c r="CS65" s="364" t="n">
        <f aca="false">IF(93&lt;5,0,IF(MAX(CN39:CS39)&gt;CS44+4+$B$18,1,0))</f>
        <v>0</v>
      </c>
      <c r="CT65" s="364" t="n">
        <f aca="false">IF(94&lt;5,0,IF(MAX(CO39:CT39)&gt;CT44+4+$B$18,1,0))</f>
        <v>0</v>
      </c>
      <c r="CU65" s="364" t="n">
        <f aca="false">IF(95&lt;5,0,IF(MAX(CP39:CU39)&gt;CU44+4+$B$18,1,0))</f>
        <v>0</v>
      </c>
      <c r="CV65" s="364" t="n">
        <f aca="false">IF(96&lt;5,0,IF(MAX(CQ39:CV39)&gt;CV44+4+$B$18,1,0))</f>
        <v>0</v>
      </c>
      <c r="CW65" s="364" t="n">
        <f aca="false">IF(97&lt;5,0,IF(MAX(CR39:CW39)&gt;CW44+4+$B$18,1,0))</f>
        <v>0</v>
      </c>
      <c r="CX65" s="364" t="n">
        <f aca="false">IF(98&lt;5,0,IF(MAX(CS39:CX39)&gt;CX44+4+$B$18,1,0))</f>
        <v>0</v>
      </c>
      <c r="CY65" s="364" t="n">
        <f aca="false">IF(99&lt;5,0,IF(MAX(CT39:CY39)&gt;CY44+4+$B$18,1,0))</f>
        <v>0</v>
      </c>
      <c r="CZ65" s="364" t="n">
        <f aca="false">IF(100&lt;5,0,IF(MAX(CU39:CZ39)&gt;CZ44+4+$B$18,1,0))</f>
        <v>0</v>
      </c>
      <c r="DA65" s="364" t="n">
        <f aca="false">IF(101&lt;5,0,IF(MAX(CV39:DA39)&gt;DA44+4+$B$18,1,0))</f>
        <v>0</v>
      </c>
      <c r="DB65" s="364" t="n">
        <f aca="false">IF(102&lt;5,0,IF(MAX(CW39:DB39)&gt;DB44+4+$B$18,1,0))</f>
        <v>0</v>
      </c>
      <c r="DC65" s="364" t="n">
        <f aca="false">IF(103&lt;5,0,IF(MAX(CX39:DC39)&gt;DC44+4+$B$18,1,0))</f>
        <v>0</v>
      </c>
      <c r="DD65" s="364" t="n">
        <f aca="false">IF(104&lt;5,0,IF(MAX(CY39:DD39)&gt;DD44+4+$B$18,1,0))</f>
        <v>0</v>
      </c>
      <c r="DE65" s="364" t="n">
        <f aca="false">IF(105&lt;5,0,IF(MAX(CZ39:DE39)&gt;DE44+4+$B$18,1,0))</f>
        <v>0</v>
      </c>
    </row>
    <row r="66" customFormat="false" ht="13.5" hidden="false" customHeight="true" outlineLevel="0" collapsed="false">
      <c r="A66" s="109" t="s">
        <v>1232</v>
      </c>
      <c r="B66" s="223" t="n">
        <f aca="false">$B$28</f>
        <v>130000</v>
      </c>
      <c r="E66" s="364" t="n">
        <f aca="false">IF(1&lt;5,0,IF(MAX(E39)&gt;E44+5+$B$18,1,0))</f>
        <v>0</v>
      </c>
      <c r="F66" s="364" t="n">
        <f aca="false">IF(2&lt;5,0,IF(MAX(E39:F39)&gt;F44+5+$B$18,1,0))</f>
        <v>0</v>
      </c>
      <c r="G66" s="364" t="n">
        <f aca="false">IF(3&lt;5,0,IF(MAX(E39:G39)&gt;G44+5+$B$18,1,0))</f>
        <v>0</v>
      </c>
      <c r="H66" s="364" t="n">
        <f aca="false">IF(4&lt;5,0,IF(MAX(E39:H39)&gt;H44+5+$B$18,1,0))</f>
        <v>0</v>
      </c>
      <c r="I66" s="364" t="n">
        <f aca="false">IF(5&lt;5,0,IF(MAX(E39:I39)&gt;I44+5+$B$18,1,0))</f>
        <v>0</v>
      </c>
      <c r="J66" s="364" t="n">
        <f aca="false">IF(6&lt;5,0,IF(MAX(E39:J39)&gt;J44+5+$B$18,1,0))</f>
        <v>0</v>
      </c>
      <c r="K66" s="364" t="n">
        <f aca="false">IF(7&lt;5,0,IF(MAX(F39:K39)&gt;K44+5+$B$18,1,0))</f>
        <v>0</v>
      </c>
      <c r="L66" s="364" t="n">
        <f aca="false">IF(8&lt;5,0,IF(MAX(G39:L39)&gt;L44+5+$B$18,1,0))</f>
        <v>0</v>
      </c>
      <c r="M66" s="364" t="n">
        <f aca="false">IF(9&lt;5,0,IF(MAX(H39:M39)&gt;M44+5+$B$18,1,0))</f>
        <v>0</v>
      </c>
      <c r="N66" s="364" t="n">
        <f aca="false">IF(10&lt;5,0,IF(MAX(I39:N39)&gt;N44+5+$B$18,1,0))</f>
        <v>0</v>
      </c>
      <c r="O66" s="364" t="n">
        <f aca="false">IF(11&lt;5,0,IF(MAX(J39:O39)&gt;O44+5+$B$18,1,0))</f>
        <v>0</v>
      </c>
      <c r="P66" s="364" t="n">
        <f aca="false">IF(12&lt;5,0,IF(MAX(K39:P39)&gt;P44+5+$B$18,1,0))</f>
        <v>0</v>
      </c>
      <c r="Q66" s="364" t="n">
        <f aca="false">IF(13&lt;5,0,IF(MAX(L39:Q39)&gt;Q44+5+$B$18,1,0))</f>
        <v>0</v>
      </c>
      <c r="R66" s="364" t="n">
        <f aca="false">IF(14&lt;5,0,IF(MAX(M39:R39)&gt;R44+5+$B$18,1,0))</f>
        <v>0</v>
      </c>
      <c r="S66" s="364" t="n">
        <f aca="false">IF(15&lt;5,0,IF(MAX(N39:S39)&gt;S44+5+$B$18,1,0))</f>
        <v>0</v>
      </c>
      <c r="T66" s="364" t="n">
        <f aca="false">IF(16&lt;5,0,IF(MAX(O39:T39)&gt;T44+5+$B$18,1,0))</f>
        <v>0</v>
      </c>
      <c r="U66" s="364" t="n">
        <f aca="false">IF(17&lt;5,0,IF(MAX(P39:U39)&gt;U44+5+$B$18,1,0))</f>
        <v>0</v>
      </c>
      <c r="V66" s="364" t="n">
        <f aca="false">IF(18&lt;5,0,IF(MAX(Q39:V39)&gt;V44+5+$B$18,1,0))</f>
        <v>0</v>
      </c>
      <c r="W66" s="364" t="n">
        <f aca="false">IF(19&lt;5,0,IF(MAX(R39:W39)&gt;W44+5+$B$18,1,0))</f>
        <v>0</v>
      </c>
      <c r="X66" s="364" t="n">
        <f aca="false">IF(20&lt;5,0,IF(MAX(S39:X39)&gt;X44+5+$B$18,1,0))</f>
        <v>0</v>
      </c>
      <c r="Y66" s="364" t="n">
        <f aca="false">IF(21&lt;5,0,IF(MAX(T39:Y39)&gt;Y44+5+$B$18,1,0))</f>
        <v>0</v>
      </c>
      <c r="Z66" s="364" t="n">
        <f aca="false">IF(22&lt;5,0,IF(MAX(U39:Z39)&gt;Z44+5+$B$18,1,0))</f>
        <v>0</v>
      </c>
      <c r="AA66" s="364" t="n">
        <f aca="false">IF(23&lt;5,0,IF(MAX(V39:AA39)&gt;AA44+5+$B$18,1,0))</f>
        <v>0</v>
      </c>
      <c r="AB66" s="364" t="n">
        <f aca="false">IF(24&lt;5,0,IF(MAX(W39:AB39)&gt;AB44+5+$B$18,1,0))</f>
        <v>0</v>
      </c>
      <c r="AC66" s="364" t="n">
        <f aca="false">IF(25&lt;5,0,IF(MAX(X39:AC39)&gt;AC44+5+$B$18,1,0))</f>
        <v>0</v>
      </c>
      <c r="AD66" s="364" t="n">
        <f aca="false">IF(26&lt;5,0,IF(MAX(Y39:AD39)&gt;AD44+5+$B$18,1,0))</f>
        <v>0</v>
      </c>
      <c r="AE66" s="364" t="n">
        <f aca="false">IF(27&lt;5,0,IF(MAX(Z39:AE39)&gt;AE44+5+$B$18,1,0))</f>
        <v>0</v>
      </c>
      <c r="AF66" s="364" t="n">
        <f aca="false">IF(28&lt;5,0,IF(MAX(AA39:AF39)&gt;AF44+5+$B$18,1,0))</f>
        <v>0</v>
      </c>
      <c r="AG66" s="364" t="n">
        <f aca="false">IF(29&lt;5,0,IF(MAX(AB39:AG39)&gt;AG44+5+$B$18,1,0))</f>
        <v>0</v>
      </c>
      <c r="AH66" s="364" t="n">
        <f aca="false">IF(30&lt;5,0,IF(MAX(AC39:AH39)&gt;AH44+5+$B$18,1,0))</f>
        <v>0</v>
      </c>
      <c r="AI66" s="364" t="n">
        <f aca="false">IF(31&lt;5,0,IF(MAX(AD39:AI39)&gt;AI44+5+$B$18,1,0))</f>
        <v>0</v>
      </c>
      <c r="AJ66" s="364" t="n">
        <f aca="false">IF(32&lt;5,0,IF(MAX(AE39:AJ39)&gt;AJ44+5+$B$18,1,0))</f>
        <v>0</v>
      </c>
      <c r="AK66" s="364" t="n">
        <f aca="false">IF(33&lt;5,0,IF(MAX(AF39:AK39)&gt;AK44+5+$B$18,1,0))</f>
        <v>0</v>
      </c>
      <c r="AL66" s="364" t="n">
        <f aca="false">IF(34&lt;5,0,IF(MAX(AG39:AL39)&gt;AL44+5+$B$18,1,0))</f>
        <v>0</v>
      </c>
      <c r="AM66" s="364" t="n">
        <f aca="false">IF(35&lt;5,0,IF(MAX(AH39:AM39)&gt;AM44+5+$B$18,1,0))</f>
        <v>0</v>
      </c>
      <c r="AN66" s="364" t="n">
        <f aca="false">IF(36&lt;5,0,IF(MAX(AI39:AN39)&gt;AN44+5+$B$18,1,0))</f>
        <v>0</v>
      </c>
      <c r="AO66" s="364" t="n">
        <f aca="false">IF(37&lt;5,0,IF(MAX(AJ39:AO39)&gt;AO44+5+$B$18,1,0))</f>
        <v>0</v>
      </c>
      <c r="AP66" s="364" t="n">
        <f aca="false">IF(38&lt;5,0,IF(MAX(AK39:AP39)&gt;AP44+5+$B$18,1,0))</f>
        <v>0</v>
      </c>
      <c r="AQ66" s="364" t="n">
        <f aca="false">IF(39&lt;5,0,IF(MAX(AL39:AQ39)&gt;AQ44+5+$B$18,1,0))</f>
        <v>0</v>
      </c>
      <c r="AR66" s="364" t="n">
        <f aca="false">IF(40&lt;5,0,IF(MAX(AM39:AR39)&gt;AR44+5+$B$18,1,0))</f>
        <v>0</v>
      </c>
      <c r="AS66" s="364" t="n">
        <f aca="false">IF(41&lt;5,0,IF(MAX(AN39:AS39)&gt;AS44+5+$B$18,1,0))</f>
        <v>0</v>
      </c>
      <c r="AT66" s="364" t="n">
        <f aca="false">IF(42&lt;5,0,IF(MAX(AO39:AT39)&gt;AT44+5+$B$18,1,0))</f>
        <v>0</v>
      </c>
      <c r="AU66" s="364" t="n">
        <f aca="false">IF(43&lt;5,0,IF(MAX(AP39:AU39)&gt;AU44+5+$B$18,1,0))</f>
        <v>0</v>
      </c>
      <c r="AV66" s="364" t="n">
        <f aca="false">IF(44&lt;5,0,IF(MAX(AQ39:AV39)&gt;AV44+5+$B$18,1,0))</f>
        <v>0</v>
      </c>
      <c r="AW66" s="364" t="n">
        <f aca="false">IF(45&lt;5,0,IF(MAX(AR39:AW39)&gt;AW44+5+$B$18,1,0))</f>
        <v>0</v>
      </c>
      <c r="AX66" s="364" t="n">
        <f aca="false">IF(46&lt;5,0,IF(MAX(AS39:AX39)&gt;AX44+5+$B$18,1,0))</f>
        <v>0</v>
      </c>
      <c r="AY66" s="364" t="n">
        <f aca="false">IF(47&lt;5,0,IF(MAX(AT39:AY39)&gt;AY44+5+$B$18,1,0))</f>
        <v>0</v>
      </c>
      <c r="AZ66" s="364" t="n">
        <f aca="false">IF(48&lt;5,0,IF(MAX(AU39:AZ39)&gt;AZ44+5+$B$18,1,0))</f>
        <v>0</v>
      </c>
      <c r="BA66" s="364" t="n">
        <f aca="false">IF(49&lt;5,0,IF(MAX(AV39:BA39)&gt;BA44+5+$B$18,1,0))</f>
        <v>0</v>
      </c>
      <c r="BB66" s="364" t="n">
        <f aca="false">IF(50&lt;5,0,IF(MAX(AW39:BB39)&gt;BB44+5+$B$18,1,0))</f>
        <v>0</v>
      </c>
      <c r="BC66" s="364" t="n">
        <f aca="false">IF(51&lt;5,0,IF(MAX(AX39:BC39)&gt;BC44+5+$B$18,1,0))</f>
        <v>0</v>
      </c>
      <c r="BD66" s="364" t="n">
        <f aca="false">IF(52&lt;5,0,IF(MAX(AY39:BD39)&gt;BD44+5+$B$18,1,0))</f>
        <v>0</v>
      </c>
      <c r="BE66" s="364" t="n">
        <f aca="false">IF(53&lt;5,0,IF(MAX(AZ39:BE39)&gt;BE44+5+$B$18,1,0))</f>
        <v>0</v>
      </c>
      <c r="BF66" s="364" t="n">
        <f aca="false">IF(54&lt;5,0,IF(MAX(BA39:BF39)&gt;BF44+5+$B$18,1,0))</f>
        <v>0</v>
      </c>
      <c r="BG66" s="364" t="n">
        <f aca="false">IF(55&lt;5,0,IF(MAX(BB39:BG39)&gt;BG44+5+$B$18,1,0))</f>
        <v>0</v>
      </c>
      <c r="BH66" s="364" t="n">
        <f aca="false">IF(56&lt;5,0,IF(MAX(BC39:BH39)&gt;BH44+5+$B$18,1,0))</f>
        <v>0</v>
      </c>
      <c r="BI66" s="364" t="n">
        <f aca="false">IF(57&lt;5,0,IF(MAX(BD39:BI39)&gt;BI44+5+$B$18,1,0))</f>
        <v>0</v>
      </c>
      <c r="BJ66" s="364" t="n">
        <f aca="false">IF(58&lt;5,0,IF(MAX(BE39:BJ39)&gt;BJ44+5+$B$18,1,0))</f>
        <v>0</v>
      </c>
      <c r="BK66" s="364" t="n">
        <f aca="false">IF(59&lt;5,0,IF(MAX(BF39:BK39)&gt;BK44+5+$B$18,1,0))</f>
        <v>0</v>
      </c>
      <c r="BL66" s="364" t="n">
        <f aca="false">IF(60&lt;5,0,IF(MAX(BG39:BL39)&gt;BL44+5+$B$18,1,0))</f>
        <v>0</v>
      </c>
      <c r="BM66" s="364" t="n">
        <f aca="false">IF(61&lt;5,0,IF(MAX(BH39:BM39)&gt;BM44+5+$B$18,1,0))</f>
        <v>0</v>
      </c>
      <c r="BN66" s="364" t="n">
        <f aca="false">IF(62&lt;5,0,IF(MAX(BI39:BN39)&gt;BN44+5+$B$18,1,0))</f>
        <v>0</v>
      </c>
      <c r="BO66" s="364" t="n">
        <f aca="false">IF(63&lt;5,0,IF(MAX(BJ39:BO39)&gt;BO44+5+$B$18,1,0))</f>
        <v>0</v>
      </c>
      <c r="BP66" s="364" t="n">
        <f aca="false">IF(64&lt;5,0,IF(MAX(BK39:BP39)&gt;BP44+5+$B$18,1,0))</f>
        <v>0</v>
      </c>
      <c r="BQ66" s="364" t="n">
        <f aca="false">IF(65&lt;5,0,IF(MAX(BL39:BQ39)&gt;BQ44+5+$B$18,1,0))</f>
        <v>0</v>
      </c>
      <c r="BR66" s="364" t="n">
        <f aca="false">IF(66&lt;5,0,IF(MAX(BM39:BR39)&gt;BR44+5+$B$18,1,0))</f>
        <v>0</v>
      </c>
      <c r="BS66" s="364" t="n">
        <f aca="false">IF(67&lt;5,0,IF(MAX(BN39:BS39)&gt;BS44+5+$B$18,1,0))</f>
        <v>0</v>
      </c>
      <c r="BT66" s="364" t="n">
        <f aca="false">IF(68&lt;5,0,IF(MAX(BO39:BT39)&gt;BT44+5+$B$18,1,0))</f>
        <v>0</v>
      </c>
      <c r="BU66" s="364" t="n">
        <f aca="false">IF(69&lt;5,0,IF(MAX(BP39:BU39)&gt;BU44+5+$B$18,1,0))</f>
        <v>0</v>
      </c>
      <c r="BV66" s="364" t="n">
        <f aca="false">IF(70&lt;5,0,IF(MAX(BQ39:BV39)&gt;BV44+5+$B$18,1,0))</f>
        <v>0</v>
      </c>
      <c r="BW66" s="364" t="n">
        <f aca="false">IF(71&lt;5,0,IF(MAX(BR39:BW39)&gt;BW44+5+$B$18,1,0))</f>
        <v>0</v>
      </c>
      <c r="BX66" s="364" t="n">
        <f aca="false">IF(72&lt;5,0,IF(MAX(BS39:BX39)&gt;BX44+5+$B$18,1,0))</f>
        <v>0</v>
      </c>
      <c r="BY66" s="364" t="n">
        <f aca="false">IF(73&lt;5,0,IF(MAX(BT39:BY39)&gt;BY44+5+$B$18,1,0))</f>
        <v>0</v>
      </c>
      <c r="BZ66" s="364" t="n">
        <f aca="false">IF(74&lt;5,0,IF(MAX(BU39:BZ39)&gt;BZ44+5+$B$18,1,0))</f>
        <v>0</v>
      </c>
      <c r="CA66" s="364" t="n">
        <f aca="false">IF(75&lt;5,0,IF(MAX(BV39:CA39)&gt;CA44+5+$B$18,1,0))</f>
        <v>0</v>
      </c>
      <c r="CB66" s="364" t="n">
        <f aca="false">IF(76&lt;5,0,IF(MAX(BW39:CB39)&gt;CB44+5+$B$18,1,0))</f>
        <v>0</v>
      </c>
      <c r="CC66" s="364" t="n">
        <f aca="false">IF(77&lt;5,0,IF(MAX(BX39:CC39)&gt;CC44+5+$B$18,1,0))</f>
        <v>0</v>
      </c>
      <c r="CD66" s="364" t="n">
        <f aca="false">IF(78&lt;5,0,IF(MAX(BY39:CD39)&gt;CD44+5+$B$18,1,0))</f>
        <v>0</v>
      </c>
      <c r="CE66" s="364" t="n">
        <f aca="false">IF(79&lt;5,0,IF(MAX(BZ39:CE39)&gt;CE44+5+$B$18,1,0))</f>
        <v>0</v>
      </c>
      <c r="CF66" s="364" t="n">
        <f aca="false">IF(80&lt;5,0,IF(MAX(CA39:CF39)&gt;CF44+5+$B$18,1,0))</f>
        <v>0</v>
      </c>
      <c r="CG66" s="364" t="n">
        <f aca="false">IF(81&lt;5,0,IF(MAX(CB39:CG39)&gt;CG44+5+$B$18,1,0))</f>
        <v>0</v>
      </c>
      <c r="CH66" s="364" t="n">
        <f aca="false">IF(82&lt;5,0,IF(MAX(CC39:CH39)&gt;CH44+5+$B$18,1,0))</f>
        <v>0</v>
      </c>
      <c r="CI66" s="364" t="n">
        <f aca="false">IF(83&lt;5,0,IF(MAX(CD39:CI39)&gt;CI44+5+$B$18,1,0))</f>
        <v>0</v>
      </c>
      <c r="CJ66" s="364" t="n">
        <f aca="false">IF(84&lt;5,0,IF(MAX(CE39:CJ39)&gt;CJ44+5+$B$18,1,0))</f>
        <v>0</v>
      </c>
      <c r="CK66" s="364" t="n">
        <f aca="false">IF(85&lt;5,0,IF(MAX(CF39:CK39)&gt;CK44+5+$B$18,1,0))</f>
        <v>0</v>
      </c>
      <c r="CL66" s="364" t="n">
        <f aca="false">IF(86&lt;5,0,IF(MAX(CG39:CL39)&gt;CL44+5+$B$18,1,0))</f>
        <v>0</v>
      </c>
      <c r="CM66" s="364" t="n">
        <f aca="false">IF(87&lt;5,0,IF(MAX(CH39:CM39)&gt;CM44+5+$B$18,1,0))</f>
        <v>0</v>
      </c>
      <c r="CN66" s="364" t="n">
        <f aca="false">IF(88&lt;5,0,IF(MAX(CI39:CN39)&gt;CN44+5+$B$18,1,0))</f>
        <v>0</v>
      </c>
      <c r="CO66" s="364" t="n">
        <f aca="false">IF(89&lt;5,0,IF(MAX(CJ39:CO39)&gt;CO44+5+$B$18,1,0))</f>
        <v>0</v>
      </c>
      <c r="CP66" s="364" t="n">
        <f aca="false">IF(90&lt;5,0,IF(MAX(CK39:CP39)&gt;CP44+5+$B$18,1,0))</f>
        <v>0</v>
      </c>
      <c r="CQ66" s="364" t="n">
        <f aca="false">IF(91&lt;5,0,IF(MAX(CL39:CQ39)&gt;CQ44+5+$B$18,1,0))</f>
        <v>0</v>
      </c>
      <c r="CR66" s="364" t="n">
        <f aca="false">IF(92&lt;5,0,IF(MAX(CM39:CR39)&gt;CR44+5+$B$18,1,0))</f>
        <v>0</v>
      </c>
      <c r="CS66" s="364" t="n">
        <f aca="false">IF(93&lt;5,0,IF(MAX(CN39:CS39)&gt;CS44+5+$B$18,1,0))</f>
        <v>0</v>
      </c>
      <c r="CT66" s="364" t="n">
        <f aca="false">IF(94&lt;5,0,IF(MAX(CO39:CT39)&gt;CT44+5+$B$18,1,0))</f>
        <v>0</v>
      </c>
      <c r="CU66" s="364" t="n">
        <f aca="false">IF(95&lt;5,0,IF(MAX(CP39:CU39)&gt;CU44+5+$B$18,1,0))</f>
        <v>0</v>
      </c>
      <c r="CV66" s="364" t="n">
        <f aca="false">IF(96&lt;5,0,IF(MAX(CQ39:CV39)&gt;CV44+5+$B$18,1,0))</f>
        <v>0</v>
      </c>
      <c r="CW66" s="364" t="n">
        <f aca="false">IF(97&lt;5,0,IF(MAX(CR39:CW39)&gt;CW44+5+$B$18,1,0))</f>
        <v>0</v>
      </c>
      <c r="CX66" s="364" t="n">
        <f aca="false">IF(98&lt;5,0,IF(MAX(CS39:CX39)&gt;CX44+5+$B$18,1,0))</f>
        <v>0</v>
      </c>
      <c r="CY66" s="364" t="n">
        <f aca="false">IF(99&lt;5,0,IF(MAX(CT39:CY39)&gt;CY44+5+$B$18,1,0))</f>
        <v>0</v>
      </c>
      <c r="CZ66" s="364" t="n">
        <f aca="false">IF(100&lt;5,0,IF(MAX(CU39:CZ39)&gt;CZ44+5+$B$18,1,0))</f>
        <v>0</v>
      </c>
      <c r="DA66" s="364" t="n">
        <f aca="false">IF(101&lt;5,0,IF(MAX(CV39:DA39)&gt;DA44+5+$B$18,1,0))</f>
        <v>0</v>
      </c>
      <c r="DB66" s="364" t="n">
        <f aca="false">IF(102&lt;5,0,IF(MAX(CW39:DB39)&gt;DB44+5+$B$18,1,0))</f>
        <v>0</v>
      </c>
      <c r="DC66" s="364" t="n">
        <f aca="false">IF(103&lt;5,0,IF(MAX(CX39:DC39)&gt;DC44+5+$B$18,1,0))</f>
        <v>0</v>
      </c>
      <c r="DD66" s="364" t="n">
        <f aca="false">IF(104&lt;5,0,IF(MAX(CY39:DD39)&gt;DD44+5+$B$18,1,0))</f>
        <v>0</v>
      </c>
      <c r="DE66" s="364" t="n">
        <f aca="false">IF(105&lt;5,0,IF(MAX(CZ39:DE39)&gt;DE44+5+$B$18,1,0))</f>
        <v>0</v>
      </c>
    </row>
    <row r="67" customFormat="false" ht="13.5" hidden="false" customHeight="true" outlineLevel="0" collapsed="false">
      <c r="A67" s="109" t="s">
        <v>1233</v>
      </c>
      <c r="B67" s="223" t="n">
        <f aca="false">$B$28</f>
        <v>130000</v>
      </c>
      <c r="E67" s="364" t="n">
        <f aca="false">IF(1&lt;5,0,IF(MAX(E39)&gt;E44+6+$B$18,1,0))</f>
        <v>0</v>
      </c>
      <c r="F67" s="364" t="n">
        <f aca="false">IF(2&lt;5,0,IF(MAX(E39:F39)&gt;F44+6+$B$18,1,0))</f>
        <v>0</v>
      </c>
      <c r="G67" s="364" t="n">
        <f aca="false">IF(3&lt;5,0,IF(MAX(E39:G39)&gt;G44+6+$B$18,1,0))</f>
        <v>0</v>
      </c>
      <c r="H67" s="364" t="n">
        <f aca="false">IF(4&lt;5,0,IF(MAX(E39:H39)&gt;H44+6+$B$18,1,0))</f>
        <v>0</v>
      </c>
      <c r="I67" s="364" t="n">
        <f aca="false">IF(5&lt;5,0,IF(MAX(E39:I39)&gt;I44+6+$B$18,1,0))</f>
        <v>0</v>
      </c>
      <c r="J67" s="364" t="n">
        <f aca="false">IF(6&lt;5,0,IF(MAX(E39:J39)&gt;J44+6+$B$18,1,0))</f>
        <v>0</v>
      </c>
      <c r="K67" s="364" t="n">
        <f aca="false">IF(7&lt;5,0,IF(MAX(F39:K39)&gt;K44+6+$B$18,1,0))</f>
        <v>0</v>
      </c>
      <c r="L67" s="364" t="n">
        <f aca="false">IF(8&lt;5,0,IF(MAX(G39:L39)&gt;L44+6+$B$18,1,0))</f>
        <v>0</v>
      </c>
      <c r="M67" s="364" t="n">
        <f aca="false">IF(9&lt;5,0,IF(MAX(H39:M39)&gt;M44+6+$B$18,1,0))</f>
        <v>0</v>
      </c>
      <c r="N67" s="364" t="n">
        <f aca="false">IF(10&lt;5,0,IF(MAX(I39:N39)&gt;N44+6+$B$18,1,0))</f>
        <v>0</v>
      </c>
      <c r="O67" s="364" t="n">
        <f aca="false">IF(11&lt;5,0,IF(MAX(J39:O39)&gt;O44+6+$B$18,1,0))</f>
        <v>0</v>
      </c>
      <c r="P67" s="364" t="n">
        <f aca="false">IF(12&lt;5,0,IF(MAX(K39:P39)&gt;P44+6+$B$18,1,0))</f>
        <v>0</v>
      </c>
      <c r="Q67" s="364" t="n">
        <f aca="false">IF(13&lt;5,0,IF(MAX(L39:Q39)&gt;Q44+6+$B$18,1,0))</f>
        <v>0</v>
      </c>
      <c r="R67" s="364" t="n">
        <f aca="false">IF(14&lt;5,0,IF(MAX(M39:R39)&gt;R44+6+$B$18,1,0))</f>
        <v>0</v>
      </c>
      <c r="S67" s="364" t="n">
        <f aca="false">IF(15&lt;5,0,IF(MAX(N39:S39)&gt;S44+6+$B$18,1,0))</f>
        <v>0</v>
      </c>
      <c r="T67" s="364" t="n">
        <f aca="false">IF(16&lt;5,0,IF(MAX(O39:T39)&gt;T44+6+$B$18,1,0))</f>
        <v>0</v>
      </c>
      <c r="U67" s="364" t="n">
        <f aca="false">IF(17&lt;5,0,IF(MAX(P39:U39)&gt;U44+6+$B$18,1,0))</f>
        <v>0</v>
      </c>
      <c r="V67" s="364" t="n">
        <f aca="false">IF(18&lt;5,0,IF(MAX(Q39:V39)&gt;V44+6+$B$18,1,0))</f>
        <v>0</v>
      </c>
      <c r="W67" s="364" t="n">
        <f aca="false">IF(19&lt;5,0,IF(MAX(R39:W39)&gt;W44+6+$B$18,1,0))</f>
        <v>0</v>
      </c>
      <c r="X67" s="364" t="n">
        <f aca="false">IF(20&lt;5,0,IF(MAX(S39:X39)&gt;X44+6+$B$18,1,0))</f>
        <v>0</v>
      </c>
      <c r="Y67" s="364" t="n">
        <f aca="false">IF(21&lt;5,0,IF(MAX(T39:Y39)&gt;Y44+6+$B$18,1,0))</f>
        <v>0</v>
      </c>
      <c r="Z67" s="364" t="n">
        <f aca="false">IF(22&lt;5,0,IF(MAX(U39:Z39)&gt;Z44+6+$B$18,1,0))</f>
        <v>0</v>
      </c>
      <c r="AA67" s="364" t="n">
        <f aca="false">IF(23&lt;5,0,IF(MAX(V39:AA39)&gt;AA44+6+$B$18,1,0))</f>
        <v>0</v>
      </c>
      <c r="AB67" s="364" t="n">
        <f aca="false">IF(24&lt;5,0,IF(MAX(W39:AB39)&gt;AB44+6+$B$18,1,0))</f>
        <v>0</v>
      </c>
      <c r="AC67" s="364" t="n">
        <f aca="false">IF(25&lt;5,0,IF(MAX(X39:AC39)&gt;AC44+6+$B$18,1,0))</f>
        <v>0</v>
      </c>
      <c r="AD67" s="364" t="n">
        <f aca="false">IF(26&lt;5,0,IF(MAX(Y39:AD39)&gt;AD44+6+$B$18,1,0))</f>
        <v>0</v>
      </c>
      <c r="AE67" s="364" t="n">
        <f aca="false">IF(27&lt;5,0,IF(MAX(Z39:AE39)&gt;AE44+6+$B$18,1,0))</f>
        <v>0</v>
      </c>
      <c r="AF67" s="364" t="n">
        <f aca="false">IF(28&lt;5,0,IF(MAX(AA39:AF39)&gt;AF44+6+$B$18,1,0))</f>
        <v>0</v>
      </c>
      <c r="AG67" s="364" t="n">
        <f aca="false">IF(29&lt;5,0,IF(MAX(AB39:AG39)&gt;AG44+6+$B$18,1,0))</f>
        <v>0</v>
      </c>
      <c r="AH67" s="364" t="n">
        <f aca="false">IF(30&lt;5,0,IF(MAX(AC39:AH39)&gt;AH44+6+$B$18,1,0))</f>
        <v>0</v>
      </c>
      <c r="AI67" s="364" t="n">
        <f aca="false">IF(31&lt;5,0,IF(MAX(AD39:AI39)&gt;AI44+6+$B$18,1,0))</f>
        <v>0</v>
      </c>
      <c r="AJ67" s="364" t="n">
        <f aca="false">IF(32&lt;5,0,IF(MAX(AE39:AJ39)&gt;AJ44+6+$B$18,1,0))</f>
        <v>0</v>
      </c>
      <c r="AK67" s="364" t="n">
        <f aca="false">IF(33&lt;5,0,IF(MAX(AF39:AK39)&gt;AK44+6+$B$18,1,0))</f>
        <v>0</v>
      </c>
      <c r="AL67" s="364" t="n">
        <f aca="false">IF(34&lt;5,0,IF(MAX(AG39:AL39)&gt;AL44+6+$B$18,1,0))</f>
        <v>0</v>
      </c>
      <c r="AM67" s="364" t="n">
        <f aca="false">IF(35&lt;5,0,IF(MAX(AH39:AM39)&gt;AM44+6+$B$18,1,0))</f>
        <v>0</v>
      </c>
      <c r="AN67" s="364" t="n">
        <f aca="false">IF(36&lt;5,0,IF(MAX(AI39:AN39)&gt;AN44+6+$B$18,1,0))</f>
        <v>0</v>
      </c>
      <c r="AO67" s="364" t="n">
        <f aca="false">IF(37&lt;5,0,IF(MAX(AJ39:AO39)&gt;AO44+6+$B$18,1,0))</f>
        <v>0</v>
      </c>
      <c r="AP67" s="364" t="n">
        <f aca="false">IF(38&lt;5,0,IF(MAX(AK39:AP39)&gt;AP44+6+$B$18,1,0))</f>
        <v>0</v>
      </c>
      <c r="AQ67" s="364" t="n">
        <f aca="false">IF(39&lt;5,0,IF(MAX(AL39:AQ39)&gt;AQ44+6+$B$18,1,0))</f>
        <v>0</v>
      </c>
      <c r="AR67" s="364" t="n">
        <f aca="false">IF(40&lt;5,0,IF(MAX(AM39:AR39)&gt;AR44+6+$B$18,1,0))</f>
        <v>0</v>
      </c>
      <c r="AS67" s="364" t="n">
        <f aca="false">IF(41&lt;5,0,IF(MAX(AN39:AS39)&gt;AS44+6+$B$18,1,0))</f>
        <v>0</v>
      </c>
      <c r="AT67" s="364" t="n">
        <f aca="false">IF(42&lt;5,0,IF(MAX(AO39:AT39)&gt;AT44+6+$B$18,1,0))</f>
        <v>0</v>
      </c>
      <c r="AU67" s="364" t="n">
        <f aca="false">IF(43&lt;5,0,IF(MAX(AP39:AU39)&gt;AU44+6+$B$18,1,0))</f>
        <v>0</v>
      </c>
      <c r="AV67" s="364" t="n">
        <f aca="false">IF(44&lt;5,0,IF(MAX(AQ39:AV39)&gt;AV44+6+$B$18,1,0))</f>
        <v>0</v>
      </c>
      <c r="AW67" s="364" t="n">
        <f aca="false">IF(45&lt;5,0,IF(MAX(AR39:AW39)&gt;AW44+6+$B$18,1,0))</f>
        <v>0</v>
      </c>
      <c r="AX67" s="364" t="n">
        <f aca="false">IF(46&lt;5,0,IF(MAX(AS39:AX39)&gt;AX44+6+$B$18,1,0))</f>
        <v>0</v>
      </c>
      <c r="AY67" s="364" t="n">
        <f aca="false">IF(47&lt;5,0,IF(MAX(AT39:AY39)&gt;AY44+6+$B$18,1,0))</f>
        <v>0</v>
      </c>
      <c r="AZ67" s="364" t="n">
        <f aca="false">IF(48&lt;5,0,IF(MAX(AU39:AZ39)&gt;AZ44+6+$B$18,1,0))</f>
        <v>0</v>
      </c>
      <c r="BA67" s="364" t="n">
        <f aca="false">IF(49&lt;5,0,IF(MAX(AV39:BA39)&gt;BA44+6+$B$18,1,0))</f>
        <v>0</v>
      </c>
      <c r="BB67" s="364" t="n">
        <f aca="false">IF(50&lt;5,0,IF(MAX(AW39:BB39)&gt;BB44+6+$B$18,1,0))</f>
        <v>0</v>
      </c>
      <c r="BC67" s="364" t="n">
        <f aca="false">IF(51&lt;5,0,IF(MAX(AX39:BC39)&gt;BC44+6+$B$18,1,0))</f>
        <v>0</v>
      </c>
      <c r="BD67" s="364" t="n">
        <f aca="false">IF(52&lt;5,0,IF(MAX(AY39:BD39)&gt;BD44+6+$B$18,1,0))</f>
        <v>0</v>
      </c>
      <c r="BE67" s="364" t="n">
        <f aca="false">IF(53&lt;5,0,IF(MAX(AZ39:BE39)&gt;BE44+6+$B$18,1,0))</f>
        <v>0</v>
      </c>
      <c r="BF67" s="364" t="n">
        <f aca="false">IF(54&lt;5,0,IF(MAX(BA39:BF39)&gt;BF44+6+$B$18,1,0))</f>
        <v>0</v>
      </c>
      <c r="BG67" s="364" t="n">
        <f aca="false">IF(55&lt;5,0,IF(MAX(BB39:BG39)&gt;BG44+6+$B$18,1,0))</f>
        <v>0</v>
      </c>
      <c r="BH67" s="364" t="n">
        <f aca="false">IF(56&lt;5,0,IF(MAX(BC39:BH39)&gt;BH44+6+$B$18,1,0))</f>
        <v>0</v>
      </c>
      <c r="BI67" s="364" t="n">
        <f aca="false">IF(57&lt;5,0,IF(MAX(BD39:BI39)&gt;BI44+6+$B$18,1,0))</f>
        <v>0</v>
      </c>
      <c r="BJ67" s="364" t="n">
        <f aca="false">IF(58&lt;5,0,IF(MAX(BE39:BJ39)&gt;BJ44+6+$B$18,1,0))</f>
        <v>0</v>
      </c>
      <c r="BK67" s="364" t="n">
        <f aca="false">IF(59&lt;5,0,IF(MAX(BF39:BK39)&gt;BK44+6+$B$18,1,0))</f>
        <v>0</v>
      </c>
      <c r="BL67" s="364" t="n">
        <f aca="false">IF(60&lt;5,0,IF(MAX(BG39:BL39)&gt;BL44+6+$B$18,1,0))</f>
        <v>0</v>
      </c>
      <c r="BM67" s="364" t="n">
        <f aca="false">IF(61&lt;5,0,IF(MAX(BH39:BM39)&gt;BM44+6+$B$18,1,0))</f>
        <v>0</v>
      </c>
      <c r="BN67" s="364" t="n">
        <f aca="false">IF(62&lt;5,0,IF(MAX(BI39:BN39)&gt;BN44+6+$B$18,1,0))</f>
        <v>0</v>
      </c>
      <c r="BO67" s="364" t="n">
        <f aca="false">IF(63&lt;5,0,IF(MAX(BJ39:BO39)&gt;BO44+6+$B$18,1,0))</f>
        <v>0</v>
      </c>
      <c r="BP67" s="364" t="n">
        <f aca="false">IF(64&lt;5,0,IF(MAX(BK39:BP39)&gt;BP44+6+$B$18,1,0))</f>
        <v>0</v>
      </c>
      <c r="BQ67" s="364" t="n">
        <f aca="false">IF(65&lt;5,0,IF(MAX(BL39:BQ39)&gt;BQ44+6+$B$18,1,0))</f>
        <v>0</v>
      </c>
      <c r="BR67" s="364" t="n">
        <f aca="false">IF(66&lt;5,0,IF(MAX(BM39:BR39)&gt;BR44+6+$B$18,1,0))</f>
        <v>0</v>
      </c>
      <c r="BS67" s="364" t="n">
        <f aca="false">IF(67&lt;5,0,IF(MAX(BN39:BS39)&gt;BS44+6+$B$18,1,0))</f>
        <v>0</v>
      </c>
      <c r="BT67" s="364" t="n">
        <f aca="false">IF(68&lt;5,0,IF(MAX(BO39:BT39)&gt;BT44+6+$B$18,1,0))</f>
        <v>0</v>
      </c>
      <c r="BU67" s="364" t="n">
        <f aca="false">IF(69&lt;5,0,IF(MAX(BP39:BU39)&gt;BU44+6+$B$18,1,0))</f>
        <v>0</v>
      </c>
      <c r="BV67" s="364" t="n">
        <f aca="false">IF(70&lt;5,0,IF(MAX(BQ39:BV39)&gt;BV44+6+$B$18,1,0))</f>
        <v>0</v>
      </c>
      <c r="BW67" s="364" t="n">
        <f aca="false">IF(71&lt;5,0,IF(MAX(BR39:BW39)&gt;BW44+6+$B$18,1,0))</f>
        <v>0</v>
      </c>
      <c r="BX67" s="364" t="n">
        <f aca="false">IF(72&lt;5,0,IF(MAX(BS39:BX39)&gt;BX44+6+$B$18,1,0))</f>
        <v>0</v>
      </c>
      <c r="BY67" s="364" t="n">
        <f aca="false">IF(73&lt;5,0,IF(MAX(BT39:BY39)&gt;BY44+6+$B$18,1,0))</f>
        <v>0</v>
      </c>
      <c r="BZ67" s="364" t="n">
        <f aca="false">IF(74&lt;5,0,IF(MAX(BU39:BZ39)&gt;BZ44+6+$B$18,1,0))</f>
        <v>0</v>
      </c>
      <c r="CA67" s="364" t="n">
        <f aca="false">IF(75&lt;5,0,IF(MAX(BV39:CA39)&gt;CA44+6+$B$18,1,0))</f>
        <v>0</v>
      </c>
      <c r="CB67" s="364" t="n">
        <f aca="false">IF(76&lt;5,0,IF(MAX(BW39:CB39)&gt;CB44+6+$B$18,1,0))</f>
        <v>0</v>
      </c>
      <c r="CC67" s="364" t="n">
        <f aca="false">IF(77&lt;5,0,IF(MAX(BX39:CC39)&gt;CC44+6+$B$18,1,0))</f>
        <v>0</v>
      </c>
      <c r="CD67" s="364" t="n">
        <f aca="false">IF(78&lt;5,0,IF(MAX(BY39:CD39)&gt;CD44+6+$B$18,1,0))</f>
        <v>0</v>
      </c>
      <c r="CE67" s="364" t="n">
        <f aca="false">IF(79&lt;5,0,IF(MAX(BZ39:CE39)&gt;CE44+6+$B$18,1,0))</f>
        <v>0</v>
      </c>
      <c r="CF67" s="364" t="n">
        <f aca="false">IF(80&lt;5,0,IF(MAX(CA39:CF39)&gt;CF44+6+$B$18,1,0))</f>
        <v>0</v>
      </c>
      <c r="CG67" s="364" t="n">
        <f aca="false">IF(81&lt;5,0,IF(MAX(CB39:CG39)&gt;CG44+6+$B$18,1,0))</f>
        <v>0</v>
      </c>
      <c r="CH67" s="364" t="n">
        <f aca="false">IF(82&lt;5,0,IF(MAX(CC39:CH39)&gt;CH44+6+$B$18,1,0))</f>
        <v>0</v>
      </c>
      <c r="CI67" s="364" t="n">
        <f aca="false">IF(83&lt;5,0,IF(MAX(CD39:CI39)&gt;CI44+6+$B$18,1,0))</f>
        <v>0</v>
      </c>
      <c r="CJ67" s="364" t="n">
        <f aca="false">IF(84&lt;5,0,IF(MAX(CE39:CJ39)&gt;CJ44+6+$B$18,1,0))</f>
        <v>0</v>
      </c>
      <c r="CK67" s="364" t="n">
        <f aca="false">IF(85&lt;5,0,IF(MAX(CF39:CK39)&gt;CK44+6+$B$18,1,0))</f>
        <v>0</v>
      </c>
      <c r="CL67" s="364" t="n">
        <f aca="false">IF(86&lt;5,0,IF(MAX(CG39:CL39)&gt;CL44+6+$B$18,1,0))</f>
        <v>0</v>
      </c>
      <c r="CM67" s="364" t="n">
        <f aca="false">IF(87&lt;5,0,IF(MAX(CH39:CM39)&gt;CM44+6+$B$18,1,0))</f>
        <v>0</v>
      </c>
      <c r="CN67" s="364" t="n">
        <f aca="false">IF(88&lt;5,0,IF(MAX(CI39:CN39)&gt;CN44+6+$B$18,1,0))</f>
        <v>0</v>
      </c>
      <c r="CO67" s="364" t="n">
        <f aca="false">IF(89&lt;5,0,IF(MAX(CJ39:CO39)&gt;CO44+6+$B$18,1,0))</f>
        <v>0</v>
      </c>
      <c r="CP67" s="364" t="n">
        <f aca="false">IF(90&lt;5,0,IF(MAX(CK39:CP39)&gt;CP44+6+$B$18,1,0))</f>
        <v>0</v>
      </c>
      <c r="CQ67" s="364" t="n">
        <f aca="false">IF(91&lt;5,0,IF(MAX(CL39:CQ39)&gt;CQ44+6+$B$18,1,0))</f>
        <v>0</v>
      </c>
      <c r="CR67" s="364" t="n">
        <f aca="false">IF(92&lt;5,0,IF(MAX(CM39:CR39)&gt;CR44+6+$B$18,1,0))</f>
        <v>0</v>
      </c>
      <c r="CS67" s="364" t="n">
        <f aca="false">IF(93&lt;5,0,IF(MAX(CN39:CS39)&gt;CS44+6+$B$18,1,0))</f>
        <v>0</v>
      </c>
      <c r="CT67" s="364" t="n">
        <f aca="false">IF(94&lt;5,0,IF(MAX(CO39:CT39)&gt;CT44+6+$B$18,1,0))</f>
        <v>0</v>
      </c>
      <c r="CU67" s="364" t="n">
        <f aca="false">IF(95&lt;5,0,IF(MAX(CP39:CU39)&gt;CU44+6+$B$18,1,0))</f>
        <v>0</v>
      </c>
      <c r="CV67" s="364" t="n">
        <f aca="false">IF(96&lt;5,0,IF(MAX(CQ39:CV39)&gt;CV44+6+$B$18,1,0))</f>
        <v>0</v>
      </c>
      <c r="CW67" s="364" t="n">
        <f aca="false">IF(97&lt;5,0,IF(MAX(CR39:CW39)&gt;CW44+6+$B$18,1,0))</f>
        <v>0</v>
      </c>
      <c r="CX67" s="364" t="n">
        <f aca="false">IF(98&lt;5,0,IF(MAX(CS39:CX39)&gt;CX44+6+$B$18,1,0))</f>
        <v>0</v>
      </c>
      <c r="CY67" s="364" t="n">
        <f aca="false">IF(99&lt;5,0,IF(MAX(CT39:CY39)&gt;CY44+6+$B$18,1,0))</f>
        <v>0</v>
      </c>
      <c r="CZ67" s="364" t="n">
        <f aca="false">IF(100&lt;5,0,IF(MAX(CU39:CZ39)&gt;CZ44+6+$B$18,1,0))</f>
        <v>0</v>
      </c>
      <c r="DA67" s="364" t="n">
        <f aca="false">IF(101&lt;5,0,IF(MAX(CV39:DA39)&gt;DA44+6+$B$18,1,0))</f>
        <v>0</v>
      </c>
      <c r="DB67" s="364" t="n">
        <f aca="false">IF(102&lt;5,0,IF(MAX(CW39:DB39)&gt;DB44+6+$B$18,1,0))</f>
        <v>0</v>
      </c>
      <c r="DC67" s="364" t="n">
        <f aca="false">IF(103&lt;5,0,IF(MAX(CX39:DC39)&gt;DC44+6+$B$18,1,0))</f>
        <v>0</v>
      </c>
      <c r="DD67" s="364" t="n">
        <f aca="false">IF(104&lt;5,0,IF(MAX(CY39:DD39)&gt;DD44+6+$B$18,1,0))</f>
        <v>0</v>
      </c>
      <c r="DE67" s="364" t="n">
        <f aca="false">IF(105&lt;5,0,IF(MAX(CZ39:DE39)&gt;DE44+6+$B$18,1,0))</f>
        <v>0</v>
      </c>
    </row>
    <row r="68" customFormat="false" ht="13.5" hidden="false" customHeight="true" outlineLevel="0" collapsed="false">
      <c r="A68" s="109" t="s">
        <v>1234</v>
      </c>
      <c r="B68" s="223" t="n">
        <f aca="false">$B$28</f>
        <v>130000</v>
      </c>
      <c r="E68" s="364" t="n">
        <f aca="false">IF(1&lt;5,0,IF(MAX(E39)&gt;E44+7+$B$18,1,0))</f>
        <v>0</v>
      </c>
      <c r="F68" s="364" t="n">
        <f aca="false">IF(2&lt;5,0,IF(MAX(E39:F39)&gt;F44+7+$B$18,1,0))</f>
        <v>0</v>
      </c>
      <c r="G68" s="364" t="n">
        <f aca="false">IF(3&lt;5,0,IF(MAX(E39:G39)&gt;G44+7+$B$18,1,0))</f>
        <v>0</v>
      </c>
      <c r="H68" s="364" t="n">
        <f aca="false">IF(4&lt;5,0,IF(MAX(E39:H39)&gt;H44+7+$B$18,1,0))</f>
        <v>0</v>
      </c>
      <c r="I68" s="364" t="n">
        <f aca="false">IF(5&lt;5,0,IF(MAX(E39:I39)&gt;I44+7+$B$18,1,0))</f>
        <v>0</v>
      </c>
      <c r="J68" s="364" t="n">
        <f aca="false">IF(6&lt;5,0,IF(MAX(E39:J39)&gt;J44+7+$B$18,1,0))</f>
        <v>0</v>
      </c>
      <c r="K68" s="364" t="n">
        <f aca="false">IF(7&lt;5,0,IF(MAX(F39:K39)&gt;K44+7+$B$18,1,0))</f>
        <v>0</v>
      </c>
      <c r="L68" s="364" t="n">
        <f aca="false">IF(8&lt;5,0,IF(MAX(G39:L39)&gt;L44+7+$B$18,1,0))</f>
        <v>0</v>
      </c>
      <c r="M68" s="364" t="n">
        <f aca="false">IF(9&lt;5,0,IF(MAX(H39:M39)&gt;M44+7+$B$18,1,0))</f>
        <v>0</v>
      </c>
      <c r="N68" s="364" t="n">
        <f aca="false">IF(10&lt;5,0,IF(MAX(I39:N39)&gt;N44+7+$B$18,1,0))</f>
        <v>0</v>
      </c>
      <c r="O68" s="364" t="n">
        <f aca="false">IF(11&lt;5,0,IF(MAX(J39:O39)&gt;O44+7+$B$18,1,0))</f>
        <v>0</v>
      </c>
      <c r="P68" s="364" t="n">
        <f aca="false">IF(12&lt;5,0,IF(MAX(K39:P39)&gt;P44+7+$B$18,1,0))</f>
        <v>0</v>
      </c>
      <c r="Q68" s="364" t="n">
        <f aca="false">IF(13&lt;5,0,IF(MAX(L39:Q39)&gt;Q44+7+$B$18,1,0))</f>
        <v>0</v>
      </c>
      <c r="R68" s="364" t="n">
        <f aca="false">IF(14&lt;5,0,IF(MAX(M39:R39)&gt;R44+7+$B$18,1,0))</f>
        <v>0</v>
      </c>
      <c r="S68" s="364" t="n">
        <f aca="false">IF(15&lt;5,0,IF(MAX(N39:S39)&gt;S44+7+$B$18,1,0))</f>
        <v>0</v>
      </c>
      <c r="T68" s="364" t="n">
        <f aca="false">IF(16&lt;5,0,IF(MAX(O39:T39)&gt;T44+7+$B$18,1,0))</f>
        <v>0</v>
      </c>
      <c r="U68" s="364" t="n">
        <f aca="false">IF(17&lt;5,0,IF(MAX(P39:U39)&gt;U44+7+$B$18,1,0))</f>
        <v>0</v>
      </c>
      <c r="V68" s="364" t="n">
        <f aca="false">IF(18&lt;5,0,IF(MAX(Q39:V39)&gt;V44+7+$B$18,1,0))</f>
        <v>0</v>
      </c>
      <c r="W68" s="364" t="n">
        <f aca="false">IF(19&lt;5,0,IF(MAX(R39:W39)&gt;W44+7+$B$18,1,0))</f>
        <v>0</v>
      </c>
      <c r="X68" s="364" t="n">
        <f aca="false">IF(20&lt;5,0,IF(MAX(S39:X39)&gt;X44+7+$B$18,1,0))</f>
        <v>0</v>
      </c>
      <c r="Y68" s="364" t="n">
        <f aca="false">IF(21&lt;5,0,IF(MAX(T39:Y39)&gt;Y44+7+$B$18,1,0))</f>
        <v>0</v>
      </c>
      <c r="Z68" s="364" t="n">
        <f aca="false">IF(22&lt;5,0,IF(MAX(U39:Z39)&gt;Z44+7+$B$18,1,0))</f>
        <v>0</v>
      </c>
      <c r="AA68" s="364" t="n">
        <f aca="false">IF(23&lt;5,0,IF(MAX(V39:AA39)&gt;AA44+7+$B$18,1,0))</f>
        <v>0</v>
      </c>
      <c r="AB68" s="364" t="n">
        <f aca="false">IF(24&lt;5,0,IF(MAX(W39:AB39)&gt;AB44+7+$B$18,1,0))</f>
        <v>0</v>
      </c>
      <c r="AC68" s="364" t="n">
        <f aca="false">IF(25&lt;5,0,IF(MAX(X39:AC39)&gt;AC44+7+$B$18,1,0))</f>
        <v>0</v>
      </c>
      <c r="AD68" s="364" t="n">
        <f aca="false">IF(26&lt;5,0,IF(MAX(Y39:AD39)&gt;AD44+7+$B$18,1,0))</f>
        <v>0</v>
      </c>
      <c r="AE68" s="364" t="n">
        <f aca="false">IF(27&lt;5,0,IF(MAX(Z39:AE39)&gt;AE44+7+$B$18,1,0))</f>
        <v>0</v>
      </c>
      <c r="AF68" s="364" t="n">
        <f aca="false">IF(28&lt;5,0,IF(MAX(AA39:AF39)&gt;AF44+7+$B$18,1,0))</f>
        <v>0</v>
      </c>
      <c r="AG68" s="364" t="n">
        <f aca="false">IF(29&lt;5,0,IF(MAX(AB39:AG39)&gt;AG44+7+$B$18,1,0))</f>
        <v>0</v>
      </c>
      <c r="AH68" s="364" t="n">
        <f aca="false">IF(30&lt;5,0,IF(MAX(AC39:AH39)&gt;AH44+7+$B$18,1,0))</f>
        <v>0</v>
      </c>
      <c r="AI68" s="364" t="n">
        <f aca="false">IF(31&lt;5,0,IF(MAX(AD39:AI39)&gt;AI44+7+$B$18,1,0))</f>
        <v>0</v>
      </c>
      <c r="AJ68" s="364" t="n">
        <f aca="false">IF(32&lt;5,0,IF(MAX(AE39:AJ39)&gt;AJ44+7+$B$18,1,0))</f>
        <v>0</v>
      </c>
      <c r="AK68" s="364" t="n">
        <f aca="false">IF(33&lt;5,0,IF(MAX(AF39:AK39)&gt;AK44+7+$B$18,1,0))</f>
        <v>0</v>
      </c>
      <c r="AL68" s="364" t="n">
        <f aca="false">IF(34&lt;5,0,IF(MAX(AG39:AL39)&gt;AL44+7+$B$18,1,0))</f>
        <v>0</v>
      </c>
      <c r="AM68" s="364" t="n">
        <f aca="false">IF(35&lt;5,0,IF(MAX(AH39:AM39)&gt;AM44+7+$B$18,1,0))</f>
        <v>0</v>
      </c>
      <c r="AN68" s="364" t="n">
        <f aca="false">IF(36&lt;5,0,IF(MAX(AI39:AN39)&gt;AN44+7+$B$18,1,0))</f>
        <v>0</v>
      </c>
      <c r="AO68" s="364" t="n">
        <f aca="false">IF(37&lt;5,0,IF(MAX(AJ39:AO39)&gt;AO44+7+$B$18,1,0))</f>
        <v>0</v>
      </c>
      <c r="AP68" s="364" t="n">
        <f aca="false">IF(38&lt;5,0,IF(MAX(AK39:AP39)&gt;AP44+7+$B$18,1,0))</f>
        <v>0</v>
      </c>
      <c r="AQ68" s="364" t="n">
        <f aca="false">IF(39&lt;5,0,IF(MAX(AL39:AQ39)&gt;AQ44+7+$B$18,1,0))</f>
        <v>0</v>
      </c>
      <c r="AR68" s="364" t="n">
        <f aca="false">IF(40&lt;5,0,IF(MAX(AM39:AR39)&gt;AR44+7+$B$18,1,0))</f>
        <v>0</v>
      </c>
      <c r="AS68" s="364" t="n">
        <f aca="false">IF(41&lt;5,0,IF(MAX(AN39:AS39)&gt;AS44+7+$B$18,1,0))</f>
        <v>0</v>
      </c>
      <c r="AT68" s="364" t="n">
        <f aca="false">IF(42&lt;5,0,IF(MAX(AO39:AT39)&gt;AT44+7+$B$18,1,0))</f>
        <v>0</v>
      </c>
      <c r="AU68" s="364" t="n">
        <f aca="false">IF(43&lt;5,0,IF(MAX(AP39:AU39)&gt;AU44+7+$B$18,1,0))</f>
        <v>0</v>
      </c>
      <c r="AV68" s="364" t="n">
        <f aca="false">IF(44&lt;5,0,IF(MAX(AQ39:AV39)&gt;AV44+7+$B$18,1,0))</f>
        <v>0</v>
      </c>
      <c r="AW68" s="364" t="n">
        <f aca="false">IF(45&lt;5,0,IF(MAX(AR39:AW39)&gt;AW44+7+$B$18,1,0))</f>
        <v>0</v>
      </c>
      <c r="AX68" s="364" t="n">
        <f aca="false">IF(46&lt;5,0,IF(MAX(AS39:AX39)&gt;AX44+7+$B$18,1,0))</f>
        <v>0</v>
      </c>
      <c r="AY68" s="364" t="n">
        <f aca="false">IF(47&lt;5,0,IF(MAX(AT39:AY39)&gt;AY44+7+$B$18,1,0))</f>
        <v>0</v>
      </c>
      <c r="AZ68" s="364" t="n">
        <f aca="false">IF(48&lt;5,0,IF(MAX(AU39:AZ39)&gt;AZ44+7+$B$18,1,0))</f>
        <v>0</v>
      </c>
      <c r="BA68" s="364" t="n">
        <f aca="false">IF(49&lt;5,0,IF(MAX(AV39:BA39)&gt;BA44+7+$B$18,1,0))</f>
        <v>0</v>
      </c>
      <c r="BB68" s="364" t="n">
        <f aca="false">IF(50&lt;5,0,IF(MAX(AW39:BB39)&gt;BB44+7+$B$18,1,0))</f>
        <v>0</v>
      </c>
      <c r="BC68" s="364" t="n">
        <f aca="false">IF(51&lt;5,0,IF(MAX(AX39:BC39)&gt;BC44+7+$B$18,1,0))</f>
        <v>0</v>
      </c>
      <c r="BD68" s="364" t="n">
        <f aca="false">IF(52&lt;5,0,IF(MAX(AY39:BD39)&gt;BD44+7+$B$18,1,0))</f>
        <v>0</v>
      </c>
      <c r="BE68" s="364" t="n">
        <f aca="false">IF(53&lt;5,0,IF(MAX(AZ39:BE39)&gt;BE44+7+$B$18,1,0))</f>
        <v>0</v>
      </c>
      <c r="BF68" s="364" t="n">
        <f aca="false">IF(54&lt;5,0,IF(MAX(BA39:BF39)&gt;BF44+7+$B$18,1,0))</f>
        <v>0</v>
      </c>
      <c r="BG68" s="364" t="n">
        <f aca="false">IF(55&lt;5,0,IF(MAX(BB39:BG39)&gt;BG44+7+$B$18,1,0))</f>
        <v>0</v>
      </c>
      <c r="BH68" s="364" t="n">
        <f aca="false">IF(56&lt;5,0,IF(MAX(BC39:BH39)&gt;BH44+7+$B$18,1,0))</f>
        <v>0</v>
      </c>
      <c r="BI68" s="364" t="n">
        <f aca="false">IF(57&lt;5,0,IF(MAX(BD39:BI39)&gt;BI44+7+$B$18,1,0))</f>
        <v>0</v>
      </c>
      <c r="BJ68" s="364" t="n">
        <f aca="false">IF(58&lt;5,0,IF(MAX(BE39:BJ39)&gt;BJ44+7+$B$18,1,0))</f>
        <v>0</v>
      </c>
      <c r="BK68" s="364" t="n">
        <f aca="false">IF(59&lt;5,0,IF(MAX(BF39:BK39)&gt;BK44+7+$B$18,1,0))</f>
        <v>0</v>
      </c>
      <c r="BL68" s="364" t="n">
        <f aca="false">IF(60&lt;5,0,IF(MAX(BG39:BL39)&gt;BL44+7+$B$18,1,0))</f>
        <v>0</v>
      </c>
      <c r="BM68" s="364" t="n">
        <f aca="false">IF(61&lt;5,0,IF(MAX(BH39:BM39)&gt;BM44+7+$B$18,1,0))</f>
        <v>0</v>
      </c>
      <c r="BN68" s="364" t="n">
        <f aca="false">IF(62&lt;5,0,IF(MAX(BI39:BN39)&gt;BN44+7+$B$18,1,0))</f>
        <v>0</v>
      </c>
      <c r="BO68" s="364" t="n">
        <f aca="false">IF(63&lt;5,0,IF(MAX(BJ39:BO39)&gt;BO44+7+$B$18,1,0))</f>
        <v>0</v>
      </c>
      <c r="BP68" s="364" t="n">
        <f aca="false">IF(64&lt;5,0,IF(MAX(BK39:BP39)&gt;BP44+7+$B$18,1,0))</f>
        <v>0</v>
      </c>
      <c r="BQ68" s="364" t="n">
        <f aca="false">IF(65&lt;5,0,IF(MAX(BL39:BQ39)&gt;BQ44+7+$B$18,1,0))</f>
        <v>0</v>
      </c>
      <c r="BR68" s="364" t="n">
        <f aca="false">IF(66&lt;5,0,IF(MAX(BM39:BR39)&gt;BR44+7+$B$18,1,0))</f>
        <v>0</v>
      </c>
      <c r="BS68" s="364" t="n">
        <f aca="false">IF(67&lt;5,0,IF(MAX(BN39:BS39)&gt;BS44+7+$B$18,1,0))</f>
        <v>0</v>
      </c>
      <c r="BT68" s="364" t="n">
        <f aca="false">IF(68&lt;5,0,IF(MAX(BO39:BT39)&gt;BT44+7+$B$18,1,0))</f>
        <v>0</v>
      </c>
      <c r="BU68" s="364" t="n">
        <f aca="false">IF(69&lt;5,0,IF(MAX(BP39:BU39)&gt;BU44+7+$B$18,1,0))</f>
        <v>0</v>
      </c>
      <c r="BV68" s="364" t="n">
        <f aca="false">IF(70&lt;5,0,IF(MAX(BQ39:BV39)&gt;BV44+7+$B$18,1,0))</f>
        <v>0</v>
      </c>
      <c r="BW68" s="364" t="n">
        <f aca="false">IF(71&lt;5,0,IF(MAX(BR39:BW39)&gt;BW44+7+$B$18,1,0))</f>
        <v>0</v>
      </c>
      <c r="BX68" s="364" t="n">
        <f aca="false">IF(72&lt;5,0,IF(MAX(BS39:BX39)&gt;BX44+7+$B$18,1,0))</f>
        <v>0</v>
      </c>
      <c r="BY68" s="364" t="n">
        <f aca="false">IF(73&lt;5,0,IF(MAX(BT39:BY39)&gt;BY44+7+$B$18,1,0))</f>
        <v>0</v>
      </c>
      <c r="BZ68" s="364" t="n">
        <f aca="false">IF(74&lt;5,0,IF(MAX(BU39:BZ39)&gt;BZ44+7+$B$18,1,0))</f>
        <v>0</v>
      </c>
      <c r="CA68" s="364" t="n">
        <f aca="false">IF(75&lt;5,0,IF(MAX(BV39:CA39)&gt;CA44+7+$B$18,1,0))</f>
        <v>0</v>
      </c>
      <c r="CB68" s="364" t="n">
        <f aca="false">IF(76&lt;5,0,IF(MAX(BW39:CB39)&gt;CB44+7+$B$18,1,0))</f>
        <v>0</v>
      </c>
      <c r="CC68" s="364" t="n">
        <f aca="false">IF(77&lt;5,0,IF(MAX(BX39:CC39)&gt;CC44+7+$B$18,1,0))</f>
        <v>0</v>
      </c>
      <c r="CD68" s="364" t="n">
        <f aca="false">IF(78&lt;5,0,IF(MAX(BY39:CD39)&gt;CD44+7+$B$18,1,0))</f>
        <v>0</v>
      </c>
      <c r="CE68" s="364" t="n">
        <f aca="false">IF(79&lt;5,0,IF(MAX(BZ39:CE39)&gt;CE44+7+$B$18,1,0))</f>
        <v>0</v>
      </c>
      <c r="CF68" s="364" t="n">
        <f aca="false">IF(80&lt;5,0,IF(MAX(CA39:CF39)&gt;CF44+7+$B$18,1,0))</f>
        <v>0</v>
      </c>
      <c r="CG68" s="364" t="n">
        <f aca="false">IF(81&lt;5,0,IF(MAX(CB39:CG39)&gt;CG44+7+$B$18,1,0))</f>
        <v>0</v>
      </c>
      <c r="CH68" s="364" t="n">
        <f aca="false">IF(82&lt;5,0,IF(MAX(CC39:CH39)&gt;CH44+7+$B$18,1,0))</f>
        <v>0</v>
      </c>
      <c r="CI68" s="364" t="n">
        <f aca="false">IF(83&lt;5,0,IF(MAX(CD39:CI39)&gt;CI44+7+$B$18,1,0))</f>
        <v>0</v>
      </c>
      <c r="CJ68" s="364" t="n">
        <f aca="false">IF(84&lt;5,0,IF(MAX(CE39:CJ39)&gt;CJ44+7+$B$18,1,0))</f>
        <v>0</v>
      </c>
      <c r="CK68" s="364" t="n">
        <f aca="false">IF(85&lt;5,0,IF(MAX(CF39:CK39)&gt;CK44+7+$B$18,1,0))</f>
        <v>0</v>
      </c>
      <c r="CL68" s="364" t="n">
        <f aca="false">IF(86&lt;5,0,IF(MAX(CG39:CL39)&gt;CL44+7+$B$18,1,0))</f>
        <v>0</v>
      </c>
      <c r="CM68" s="364" t="n">
        <f aca="false">IF(87&lt;5,0,IF(MAX(CH39:CM39)&gt;CM44+7+$B$18,1,0))</f>
        <v>0</v>
      </c>
      <c r="CN68" s="364" t="n">
        <f aca="false">IF(88&lt;5,0,IF(MAX(CI39:CN39)&gt;CN44+7+$B$18,1,0))</f>
        <v>0</v>
      </c>
      <c r="CO68" s="364" t="n">
        <f aca="false">IF(89&lt;5,0,IF(MAX(CJ39:CO39)&gt;CO44+7+$B$18,1,0))</f>
        <v>0</v>
      </c>
      <c r="CP68" s="364" t="n">
        <f aca="false">IF(90&lt;5,0,IF(MAX(CK39:CP39)&gt;CP44+7+$B$18,1,0))</f>
        <v>0</v>
      </c>
      <c r="CQ68" s="364" t="n">
        <f aca="false">IF(91&lt;5,0,IF(MAX(CL39:CQ39)&gt;CQ44+7+$B$18,1,0))</f>
        <v>0</v>
      </c>
      <c r="CR68" s="364" t="n">
        <f aca="false">IF(92&lt;5,0,IF(MAX(CM39:CR39)&gt;CR44+7+$B$18,1,0))</f>
        <v>0</v>
      </c>
      <c r="CS68" s="364" t="n">
        <f aca="false">IF(93&lt;5,0,IF(MAX(CN39:CS39)&gt;CS44+7+$B$18,1,0))</f>
        <v>0</v>
      </c>
      <c r="CT68" s="364" t="n">
        <f aca="false">IF(94&lt;5,0,IF(MAX(CO39:CT39)&gt;CT44+7+$B$18,1,0))</f>
        <v>0</v>
      </c>
      <c r="CU68" s="364" t="n">
        <f aca="false">IF(95&lt;5,0,IF(MAX(CP39:CU39)&gt;CU44+7+$B$18,1,0))</f>
        <v>0</v>
      </c>
      <c r="CV68" s="364" t="n">
        <f aca="false">IF(96&lt;5,0,IF(MAX(CQ39:CV39)&gt;CV44+7+$B$18,1,0))</f>
        <v>0</v>
      </c>
      <c r="CW68" s="364" t="n">
        <f aca="false">IF(97&lt;5,0,IF(MAX(CR39:CW39)&gt;CW44+7+$B$18,1,0))</f>
        <v>0</v>
      </c>
      <c r="CX68" s="364" t="n">
        <f aca="false">IF(98&lt;5,0,IF(MAX(CS39:CX39)&gt;CX44+7+$B$18,1,0))</f>
        <v>0</v>
      </c>
      <c r="CY68" s="364" t="n">
        <f aca="false">IF(99&lt;5,0,IF(MAX(CT39:CY39)&gt;CY44+7+$B$18,1,0))</f>
        <v>0</v>
      </c>
      <c r="CZ68" s="364" t="n">
        <f aca="false">IF(100&lt;5,0,IF(MAX(CU39:CZ39)&gt;CZ44+7+$B$18,1,0))</f>
        <v>0</v>
      </c>
      <c r="DA68" s="364" t="n">
        <f aca="false">IF(101&lt;5,0,IF(MAX(CV39:DA39)&gt;DA44+7+$B$18,1,0))</f>
        <v>0</v>
      </c>
      <c r="DB68" s="364" t="n">
        <f aca="false">IF(102&lt;5,0,IF(MAX(CW39:DB39)&gt;DB44+7+$B$18,1,0))</f>
        <v>0</v>
      </c>
      <c r="DC68" s="364" t="n">
        <f aca="false">IF(103&lt;5,0,IF(MAX(CX39:DC39)&gt;DC44+7+$B$18,1,0))</f>
        <v>0</v>
      </c>
      <c r="DD68" s="364" t="n">
        <f aca="false">IF(104&lt;5,0,IF(MAX(CY39:DD39)&gt;DD44+7+$B$18,1,0))</f>
        <v>0</v>
      </c>
      <c r="DE68" s="364"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1235</v>
      </c>
      <c r="B71" s="223" t="n">
        <f aca="false">$B$29</f>
        <v>180000</v>
      </c>
      <c r="E71" s="364" t="n">
        <f aca="false">IF(1&lt;5,0,IF(MAX(E40)&gt;E45+0+$B$18,1,0))</f>
        <v>0</v>
      </c>
      <c r="F71" s="364" t="n">
        <f aca="false">IF(2&lt;5,0,IF(MAX(E40:F40)&gt;F45+0+$B$18,1,0))</f>
        <v>0</v>
      </c>
      <c r="G71" s="364" t="n">
        <f aca="false">IF(3&lt;5,0,IF(MAX(E40:G40)&gt;G45+0+$B$18,1,0))</f>
        <v>0</v>
      </c>
      <c r="H71" s="364" t="n">
        <f aca="false">IF(4&lt;5,0,IF(MAX(E40:H40)&gt;H45+0+$B$18,1,0))</f>
        <v>0</v>
      </c>
      <c r="I71" s="364" t="n">
        <f aca="false">IF(5&lt;5,0,IF(MAX(E40:I40)&gt;I45+0+$B$18,1,0))</f>
        <v>0</v>
      </c>
      <c r="J71" s="364" t="n">
        <f aca="false">IF(6&lt;5,0,IF(MAX(E40:J40)&gt;J45+0+$B$18,1,0))</f>
        <v>0</v>
      </c>
      <c r="K71" s="364" t="n">
        <f aca="false">IF(7&lt;5,0,IF(MAX(F40:K40)&gt;K45+0+$B$18,1,0))</f>
        <v>0</v>
      </c>
      <c r="L71" s="364" t="n">
        <f aca="false">IF(8&lt;5,0,IF(MAX(G40:L40)&gt;L45+0+$B$18,1,0))</f>
        <v>0</v>
      </c>
      <c r="M71" s="364" t="n">
        <f aca="false">IF(9&lt;5,0,IF(MAX(H40:M40)&gt;M45+0+$B$18,1,0))</f>
        <v>0</v>
      </c>
      <c r="N71" s="364" t="n">
        <f aca="false">IF(10&lt;5,0,IF(MAX(I40:N40)&gt;N45+0+$B$18,1,0))</f>
        <v>0</v>
      </c>
      <c r="O71" s="364" t="n">
        <f aca="false">IF(11&lt;5,0,IF(MAX(J40:O40)&gt;O45+0+$B$18,1,0))</f>
        <v>0</v>
      </c>
      <c r="P71" s="364" t="n">
        <f aca="false">IF(12&lt;5,0,IF(MAX(K40:P40)&gt;P45+0+$B$18,1,0))</f>
        <v>0</v>
      </c>
      <c r="Q71" s="364" t="n">
        <f aca="false">IF(13&lt;5,0,IF(MAX(L40:Q40)&gt;Q45+0+$B$18,1,0))</f>
        <v>0</v>
      </c>
      <c r="R71" s="364" t="n">
        <f aca="false">IF(14&lt;5,0,IF(MAX(M40:R40)&gt;R45+0+$B$18,1,0))</f>
        <v>0</v>
      </c>
      <c r="S71" s="364" t="n">
        <f aca="false">IF(15&lt;5,0,IF(MAX(N40:S40)&gt;S45+0+$B$18,1,0))</f>
        <v>0</v>
      </c>
      <c r="T71" s="364" t="n">
        <f aca="false">IF(16&lt;5,0,IF(MAX(O40:T40)&gt;T45+0+$B$18,1,0))</f>
        <v>0</v>
      </c>
      <c r="U71" s="364" t="n">
        <f aca="false">IF(17&lt;5,0,IF(MAX(P40:U40)&gt;U45+0+$B$18,1,0))</f>
        <v>0</v>
      </c>
      <c r="V71" s="364" t="n">
        <f aca="false">IF(18&lt;5,0,IF(MAX(Q40:V40)&gt;V45+0+$B$18,1,0))</f>
        <v>0</v>
      </c>
      <c r="W71" s="364" t="n">
        <f aca="false">IF(19&lt;5,0,IF(MAX(R40:W40)&gt;W45+0+$B$18,1,0))</f>
        <v>0</v>
      </c>
      <c r="X71" s="364" t="n">
        <f aca="false">IF(20&lt;5,0,IF(MAX(S40:X40)&gt;X45+0+$B$18,1,0))</f>
        <v>0</v>
      </c>
      <c r="Y71" s="364" t="n">
        <f aca="false">IF(21&lt;5,0,IF(MAX(T40:Y40)&gt;Y45+0+$B$18,1,0))</f>
        <v>0</v>
      </c>
      <c r="Z71" s="364" t="n">
        <f aca="false">IF(22&lt;5,0,IF(MAX(U40:Z40)&gt;Z45+0+$B$18,1,0))</f>
        <v>0</v>
      </c>
      <c r="AA71" s="364" t="n">
        <f aca="false">IF(23&lt;5,0,IF(MAX(V40:AA40)&gt;AA45+0+$B$18,1,0))</f>
        <v>0</v>
      </c>
      <c r="AB71" s="364" t="n">
        <f aca="false">IF(24&lt;5,0,IF(MAX(W40:AB40)&gt;AB45+0+$B$18,1,0))</f>
        <v>0</v>
      </c>
      <c r="AC71" s="364" t="n">
        <f aca="false">IF(25&lt;5,0,IF(MAX(X40:AC40)&gt;AC45+0+$B$18,1,0))</f>
        <v>0</v>
      </c>
      <c r="AD71" s="364" t="n">
        <f aca="false">IF(26&lt;5,0,IF(MAX(Y40:AD40)&gt;AD45+0+$B$18,1,0))</f>
        <v>0</v>
      </c>
      <c r="AE71" s="364" t="n">
        <f aca="false">IF(27&lt;5,0,IF(MAX(Z40:AE40)&gt;AE45+0+$B$18,1,0))</f>
        <v>0</v>
      </c>
      <c r="AF71" s="364" t="n">
        <f aca="false">IF(28&lt;5,0,IF(MAX(AA40:AF40)&gt;AF45+0+$B$18,1,0))</f>
        <v>0</v>
      </c>
      <c r="AG71" s="364" t="n">
        <f aca="false">IF(29&lt;5,0,IF(MAX(AB40:AG40)&gt;AG45+0+$B$18,1,0))</f>
        <v>0</v>
      </c>
      <c r="AH71" s="364" t="n">
        <f aca="false">IF(30&lt;5,0,IF(MAX(AC40:AH40)&gt;AH45+0+$B$18,1,0))</f>
        <v>0</v>
      </c>
      <c r="AI71" s="364" t="n">
        <f aca="false">IF(31&lt;5,0,IF(MAX(AD40:AI40)&gt;AI45+0+$B$18,1,0))</f>
        <v>0</v>
      </c>
      <c r="AJ71" s="364" t="n">
        <f aca="false">IF(32&lt;5,0,IF(MAX(AE40:AJ40)&gt;AJ45+0+$B$18,1,0))</f>
        <v>0</v>
      </c>
      <c r="AK71" s="364" t="n">
        <f aca="false">IF(33&lt;5,0,IF(MAX(AF40:AK40)&gt;AK45+0+$B$18,1,0))</f>
        <v>0</v>
      </c>
      <c r="AL71" s="364" t="n">
        <f aca="false">IF(34&lt;5,0,IF(MAX(AG40:AL40)&gt;AL45+0+$B$18,1,0))</f>
        <v>0</v>
      </c>
      <c r="AM71" s="364" t="n">
        <f aca="false">IF(35&lt;5,0,IF(MAX(AH40:AM40)&gt;AM45+0+$B$18,1,0))</f>
        <v>0</v>
      </c>
      <c r="AN71" s="364" t="n">
        <f aca="false">IF(36&lt;5,0,IF(MAX(AI40:AN40)&gt;AN45+0+$B$18,1,0))</f>
        <v>0</v>
      </c>
      <c r="AO71" s="364" t="n">
        <f aca="false">IF(37&lt;5,0,IF(MAX(AJ40:AO40)&gt;AO45+0+$B$18,1,0))</f>
        <v>0</v>
      </c>
      <c r="AP71" s="364" t="n">
        <f aca="false">IF(38&lt;5,0,IF(MAX(AK40:AP40)&gt;AP45+0+$B$18,1,0))</f>
        <v>0</v>
      </c>
      <c r="AQ71" s="364" t="n">
        <f aca="false">IF(39&lt;5,0,IF(MAX(AL40:AQ40)&gt;AQ45+0+$B$18,1,0))</f>
        <v>0</v>
      </c>
      <c r="AR71" s="364" t="n">
        <f aca="false">IF(40&lt;5,0,IF(MAX(AM40:AR40)&gt;AR45+0+$B$18,1,0))</f>
        <v>0</v>
      </c>
      <c r="AS71" s="364" t="n">
        <f aca="false">IF(41&lt;5,0,IF(MAX(AN40:AS40)&gt;AS45+0+$B$18,1,0))</f>
        <v>0</v>
      </c>
      <c r="AT71" s="364" t="n">
        <f aca="false">IF(42&lt;5,0,IF(MAX(AO40:AT40)&gt;AT45+0+$B$18,1,0))</f>
        <v>0</v>
      </c>
      <c r="AU71" s="364" t="n">
        <f aca="false">IF(43&lt;5,0,IF(MAX(AP40:AU40)&gt;AU45+0+$B$18,1,0))</f>
        <v>0</v>
      </c>
      <c r="AV71" s="364" t="n">
        <f aca="false">IF(44&lt;5,0,IF(MAX(AQ40:AV40)&gt;AV45+0+$B$18,1,0))</f>
        <v>0</v>
      </c>
      <c r="AW71" s="364" t="n">
        <f aca="false">IF(45&lt;5,0,IF(MAX(AR40:AW40)&gt;AW45+0+$B$18,1,0))</f>
        <v>0</v>
      </c>
      <c r="AX71" s="364" t="n">
        <f aca="false">IF(46&lt;5,0,IF(MAX(AS40:AX40)&gt;AX45+0+$B$18,1,0))</f>
        <v>0</v>
      </c>
      <c r="AY71" s="364" t="n">
        <f aca="false">IF(47&lt;5,0,IF(MAX(AT40:AY40)&gt;AY45+0+$B$18,1,0))</f>
        <v>0</v>
      </c>
      <c r="AZ71" s="364" t="n">
        <f aca="false">IF(48&lt;5,0,IF(MAX(AU40:AZ40)&gt;AZ45+0+$B$18,1,0))</f>
        <v>0</v>
      </c>
      <c r="BA71" s="364" t="n">
        <f aca="false">IF(49&lt;5,0,IF(MAX(AV40:BA40)&gt;BA45+0+$B$18,1,0))</f>
        <v>0</v>
      </c>
      <c r="BB71" s="364" t="n">
        <f aca="false">IF(50&lt;5,0,IF(MAX(AW40:BB40)&gt;BB45+0+$B$18,1,0))</f>
        <v>0</v>
      </c>
      <c r="BC71" s="364" t="n">
        <f aca="false">IF(51&lt;5,0,IF(MAX(AX40:BC40)&gt;BC45+0+$B$18,1,0))</f>
        <v>0</v>
      </c>
      <c r="BD71" s="364" t="n">
        <f aca="false">IF(52&lt;5,0,IF(MAX(AY40:BD40)&gt;BD45+0+$B$18,1,0))</f>
        <v>0</v>
      </c>
      <c r="BE71" s="364" t="n">
        <f aca="false">IF(53&lt;5,0,IF(MAX(AZ40:BE40)&gt;BE45+0+$B$18,1,0))</f>
        <v>0</v>
      </c>
      <c r="BF71" s="364" t="n">
        <f aca="false">IF(54&lt;5,0,IF(MAX(BA40:BF40)&gt;BF45+0+$B$18,1,0))</f>
        <v>0</v>
      </c>
      <c r="BG71" s="364" t="n">
        <f aca="false">IF(55&lt;5,0,IF(MAX(BB40:BG40)&gt;BG45+0+$B$18,1,0))</f>
        <v>0</v>
      </c>
      <c r="BH71" s="364" t="n">
        <f aca="false">IF(56&lt;5,0,IF(MAX(BC40:BH40)&gt;BH45+0+$B$18,1,0))</f>
        <v>0</v>
      </c>
      <c r="BI71" s="364" t="n">
        <f aca="false">IF(57&lt;5,0,IF(MAX(BD40:BI40)&gt;BI45+0+$B$18,1,0))</f>
        <v>0</v>
      </c>
      <c r="BJ71" s="364" t="n">
        <f aca="false">IF(58&lt;5,0,IF(MAX(BE40:BJ40)&gt;BJ45+0+$B$18,1,0))</f>
        <v>0</v>
      </c>
      <c r="BK71" s="364" t="n">
        <f aca="false">IF(59&lt;5,0,IF(MAX(BF40:BK40)&gt;BK45+0+$B$18,1,0))</f>
        <v>0</v>
      </c>
      <c r="BL71" s="364" t="n">
        <f aca="false">IF(60&lt;5,0,IF(MAX(BG40:BL40)&gt;BL45+0+$B$18,1,0))</f>
        <v>0</v>
      </c>
      <c r="BM71" s="364" t="n">
        <f aca="false">IF(61&lt;5,0,IF(MAX(BH40:BM40)&gt;BM45+0+$B$18,1,0))</f>
        <v>0</v>
      </c>
      <c r="BN71" s="364" t="n">
        <f aca="false">IF(62&lt;5,0,IF(MAX(BI40:BN40)&gt;BN45+0+$B$18,1,0))</f>
        <v>0</v>
      </c>
      <c r="BO71" s="364" t="n">
        <f aca="false">IF(63&lt;5,0,IF(MAX(BJ40:BO40)&gt;BO45+0+$B$18,1,0))</f>
        <v>0</v>
      </c>
      <c r="BP71" s="364" t="n">
        <f aca="false">IF(64&lt;5,0,IF(MAX(BK40:BP40)&gt;BP45+0+$B$18,1,0))</f>
        <v>0</v>
      </c>
      <c r="BQ71" s="364" t="n">
        <f aca="false">IF(65&lt;5,0,IF(MAX(BL40:BQ40)&gt;BQ45+0+$B$18,1,0))</f>
        <v>0</v>
      </c>
      <c r="BR71" s="364" t="n">
        <f aca="false">IF(66&lt;5,0,IF(MAX(BM40:BR40)&gt;BR45+0+$B$18,1,0))</f>
        <v>0</v>
      </c>
      <c r="BS71" s="364" t="n">
        <f aca="false">IF(67&lt;5,0,IF(MAX(BN40:BS40)&gt;BS45+0+$B$18,1,0))</f>
        <v>0</v>
      </c>
      <c r="BT71" s="364" t="n">
        <f aca="false">IF(68&lt;5,0,IF(MAX(BO40:BT40)&gt;BT45+0+$B$18,1,0))</f>
        <v>0</v>
      </c>
      <c r="BU71" s="364" t="n">
        <f aca="false">IF(69&lt;5,0,IF(MAX(BP40:BU40)&gt;BU45+0+$B$18,1,0))</f>
        <v>0</v>
      </c>
      <c r="BV71" s="364" t="n">
        <f aca="false">IF(70&lt;5,0,IF(MAX(BQ40:BV40)&gt;BV45+0+$B$18,1,0))</f>
        <v>0</v>
      </c>
      <c r="BW71" s="364" t="n">
        <f aca="false">IF(71&lt;5,0,IF(MAX(BR40:BW40)&gt;BW45+0+$B$18,1,0))</f>
        <v>0</v>
      </c>
      <c r="BX71" s="364" t="n">
        <f aca="false">IF(72&lt;5,0,IF(MAX(BS40:BX40)&gt;BX45+0+$B$18,1,0))</f>
        <v>0</v>
      </c>
      <c r="BY71" s="364" t="n">
        <f aca="false">IF(73&lt;5,0,IF(MAX(BT40:BY40)&gt;BY45+0+$B$18,1,0))</f>
        <v>0</v>
      </c>
      <c r="BZ71" s="364" t="n">
        <f aca="false">IF(74&lt;5,0,IF(MAX(BU40:BZ40)&gt;BZ45+0+$B$18,1,0))</f>
        <v>0</v>
      </c>
      <c r="CA71" s="364" t="n">
        <f aca="false">IF(75&lt;5,0,IF(MAX(BV40:CA40)&gt;CA45+0+$B$18,1,0))</f>
        <v>0</v>
      </c>
      <c r="CB71" s="364" t="n">
        <f aca="false">IF(76&lt;5,0,IF(MAX(BW40:CB40)&gt;CB45+0+$B$18,1,0))</f>
        <v>0</v>
      </c>
      <c r="CC71" s="364" t="n">
        <f aca="false">IF(77&lt;5,0,IF(MAX(BX40:CC40)&gt;CC45+0+$B$18,1,0))</f>
        <v>0</v>
      </c>
      <c r="CD71" s="364" t="n">
        <f aca="false">IF(78&lt;5,0,IF(MAX(BY40:CD40)&gt;CD45+0+$B$18,1,0))</f>
        <v>0</v>
      </c>
      <c r="CE71" s="364" t="n">
        <f aca="false">IF(79&lt;5,0,IF(MAX(BZ40:CE40)&gt;CE45+0+$B$18,1,0))</f>
        <v>0</v>
      </c>
      <c r="CF71" s="364" t="n">
        <f aca="false">IF(80&lt;5,0,IF(MAX(CA40:CF40)&gt;CF45+0+$B$18,1,0))</f>
        <v>0</v>
      </c>
      <c r="CG71" s="364" t="n">
        <f aca="false">IF(81&lt;5,0,IF(MAX(CB40:CG40)&gt;CG45+0+$B$18,1,0))</f>
        <v>0</v>
      </c>
      <c r="CH71" s="364" t="n">
        <f aca="false">IF(82&lt;5,0,IF(MAX(CC40:CH40)&gt;CH45+0+$B$18,1,0))</f>
        <v>0</v>
      </c>
      <c r="CI71" s="364" t="n">
        <f aca="false">IF(83&lt;5,0,IF(MAX(CD40:CI40)&gt;CI45+0+$B$18,1,0))</f>
        <v>0</v>
      </c>
      <c r="CJ71" s="364" t="n">
        <f aca="false">IF(84&lt;5,0,IF(MAX(CE40:CJ40)&gt;CJ45+0+$B$18,1,0))</f>
        <v>0</v>
      </c>
      <c r="CK71" s="364" t="n">
        <f aca="false">IF(85&lt;5,0,IF(MAX(CF40:CK40)&gt;CK45+0+$B$18,1,0))</f>
        <v>0</v>
      </c>
      <c r="CL71" s="364" t="n">
        <f aca="false">IF(86&lt;5,0,IF(MAX(CG40:CL40)&gt;CL45+0+$B$18,1,0))</f>
        <v>0</v>
      </c>
      <c r="CM71" s="364" t="n">
        <f aca="false">IF(87&lt;5,0,IF(MAX(CH40:CM40)&gt;CM45+0+$B$18,1,0))</f>
        <v>0</v>
      </c>
      <c r="CN71" s="364" t="n">
        <f aca="false">IF(88&lt;5,0,IF(MAX(CI40:CN40)&gt;CN45+0+$B$18,1,0))</f>
        <v>0</v>
      </c>
      <c r="CO71" s="364" t="n">
        <f aca="false">IF(89&lt;5,0,IF(MAX(CJ40:CO40)&gt;CO45+0+$B$18,1,0))</f>
        <v>0</v>
      </c>
      <c r="CP71" s="364" t="n">
        <f aca="false">IF(90&lt;5,0,IF(MAX(CK40:CP40)&gt;CP45+0+$B$18,1,0))</f>
        <v>0</v>
      </c>
      <c r="CQ71" s="364" t="n">
        <f aca="false">IF(91&lt;5,0,IF(MAX(CL40:CQ40)&gt;CQ45+0+$B$18,1,0))</f>
        <v>0</v>
      </c>
      <c r="CR71" s="364" t="n">
        <f aca="false">IF(92&lt;5,0,IF(MAX(CM40:CR40)&gt;CR45+0+$B$18,1,0))</f>
        <v>0</v>
      </c>
      <c r="CS71" s="364" t="n">
        <f aca="false">IF(93&lt;5,0,IF(MAX(CN40:CS40)&gt;CS45+0+$B$18,1,0))</f>
        <v>0</v>
      </c>
      <c r="CT71" s="364" t="n">
        <f aca="false">IF(94&lt;5,0,IF(MAX(CO40:CT40)&gt;CT45+0+$B$18,1,0))</f>
        <v>0</v>
      </c>
      <c r="CU71" s="364" t="n">
        <f aca="false">IF(95&lt;5,0,IF(MAX(CP40:CU40)&gt;CU45+0+$B$18,1,0))</f>
        <v>0</v>
      </c>
      <c r="CV71" s="364" t="n">
        <f aca="false">IF(96&lt;5,0,IF(MAX(CQ40:CV40)&gt;CV45+0+$B$18,1,0))</f>
        <v>0</v>
      </c>
      <c r="CW71" s="364" t="n">
        <f aca="false">IF(97&lt;5,0,IF(MAX(CR40:CW40)&gt;CW45+0+$B$18,1,0))</f>
        <v>0</v>
      </c>
      <c r="CX71" s="364" t="n">
        <f aca="false">IF(98&lt;5,0,IF(MAX(CS40:CX40)&gt;CX45+0+$B$18,1,0))</f>
        <v>0</v>
      </c>
      <c r="CY71" s="364" t="n">
        <f aca="false">IF(99&lt;5,0,IF(MAX(CT40:CY40)&gt;CY45+0+$B$18,1,0))</f>
        <v>0</v>
      </c>
      <c r="CZ71" s="364" t="n">
        <f aca="false">IF(100&lt;5,0,IF(MAX(CU40:CZ40)&gt;CZ45+0+$B$18,1,0))</f>
        <v>0</v>
      </c>
      <c r="DA71" s="364" t="n">
        <f aca="false">IF(101&lt;5,0,IF(MAX(CV40:DA40)&gt;DA45+0+$B$18,1,0))</f>
        <v>0</v>
      </c>
      <c r="DB71" s="364" t="n">
        <f aca="false">IF(102&lt;5,0,IF(MAX(CW40:DB40)&gt;DB45+0+$B$18,1,0))</f>
        <v>0</v>
      </c>
      <c r="DC71" s="364" t="n">
        <f aca="false">IF(103&lt;5,0,IF(MAX(CX40:DC40)&gt;DC45+0+$B$18,1,0))</f>
        <v>0</v>
      </c>
      <c r="DD71" s="364" t="n">
        <f aca="false">IF(104&lt;5,0,IF(MAX(CY40:DD40)&gt;DD45+0+$B$18,1,0))</f>
        <v>0</v>
      </c>
      <c r="DE71" s="364" t="n">
        <f aca="false">IF(105&lt;5,0,IF(MAX(CZ40:DE40)&gt;DE45+0+$B$18,1,0))</f>
        <v>0</v>
      </c>
    </row>
    <row r="72" customFormat="false" ht="13.5" hidden="false" customHeight="true" outlineLevel="0" collapsed="false">
      <c r="A72" s="109" t="s">
        <v>1236</v>
      </c>
      <c r="B72" s="223" t="n">
        <f aca="false">$B$29</f>
        <v>180000</v>
      </c>
      <c r="E72" s="364" t="n">
        <f aca="false">IF(1&lt;5,0,IF(MAX(E40)&gt;E45+1+$B$18,1,0))</f>
        <v>0</v>
      </c>
      <c r="F72" s="364" t="n">
        <f aca="false">IF(2&lt;5,0,IF(MAX(E40:F40)&gt;F45+1+$B$18,1,0))</f>
        <v>0</v>
      </c>
      <c r="G72" s="364" t="n">
        <f aca="false">IF(3&lt;5,0,IF(MAX(E40:G40)&gt;G45+1+$B$18,1,0))</f>
        <v>0</v>
      </c>
      <c r="H72" s="364" t="n">
        <f aca="false">IF(4&lt;5,0,IF(MAX(E40:H40)&gt;H45+1+$B$18,1,0))</f>
        <v>0</v>
      </c>
      <c r="I72" s="364" t="n">
        <f aca="false">IF(5&lt;5,0,IF(MAX(E40:I40)&gt;I45+1+$B$18,1,0))</f>
        <v>0</v>
      </c>
      <c r="J72" s="364" t="n">
        <f aca="false">IF(6&lt;5,0,IF(MAX(E40:J40)&gt;J45+1+$B$18,1,0))</f>
        <v>0</v>
      </c>
      <c r="K72" s="364" t="n">
        <f aca="false">IF(7&lt;5,0,IF(MAX(F40:K40)&gt;K45+1+$B$18,1,0))</f>
        <v>0</v>
      </c>
      <c r="L72" s="364" t="n">
        <f aca="false">IF(8&lt;5,0,IF(MAX(G40:L40)&gt;L45+1+$B$18,1,0))</f>
        <v>0</v>
      </c>
      <c r="M72" s="364" t="n">
        <f aca="false">IF(9&lt;5,0,IF(MAX(H40:M40)&gt;M45+1+$B$18,1,0))</f>
        <v>0</v>
      </c>
      <c r="N72" s="364" t="n">
        <f aca="false">IF(10&lt;5,0,IF(MAX(I40:N40)&gt;N45+1+$B$18,1,0))</f>
        <v>0</v>
      </c>
      <c r="O72" s="364" t="n">
        <f aca="false">IF(11&lt;5,0,IF(MAX(J40:O40)&gt;O45+1+$B$18,1,0))</f>
        <v>0</v>
      </c>
      <c r="P72" s="364" t="n">
        <f aca="false">IF(12&lt;5,0,IF(MAX(K40:P40)&gt;P45+1+$B$18,1,0))</f>
        <v>0</v>
      </c>
      <c r="Q72" s="364" t="n">
        <f aca="false">IF(13&lt;5,0,IF(MAX(L40:Q40)&gt;Q45+1+$B$18,1,0))</f>
        <v>0</v>
      </c>
      <c r="R72" s="364" t="n">
        <f aca="false">IF(14&lt;5,0,IF(MAX(M40:R40)&gt;R45+1+$B$18,1,0))</f>
        <v>0</v>
      </c>
      <c r="S72" s="364" t="n">
        <f aca="false">IF(15&lt;5,0,IF(MAX(N40:S40)&gt;S45+1+$B$18,1,0))</f>
        <v>0</v>
      </c>
      <c r="T72" s="364" t="n">
        <f aca="false">IF(16&lt;5,0,IF(MAX(O40:T40)&gt;T45+1+$B$18,1,0))</f>
        <v>0</v>
      </c>
      <c r="U72" s="364" t="n">
        <f aca="false">IF(17&lt;5,0,IF(MAX(P40:U40)&gt;U45+1+$B$18,1,0))</f>
        <v>0</v>
      </c>
      <c r="V72" s="364" t="n">
        <f aca="false">IF(18&lt;5,0,IF(MAX(Q40:V40)&gt;V45+1+$B$18,1,0))</f>
        <v>0</v>
      </c>
      <c r="W72" s="364" t="n">
        <f aca="false">IF(19&lt;5,0,IF(MAX(R40:W40)&gt;W45+1+$B$18,1,0))</f>
        <v>0</v>
      </c>
      <c r="X72" s="364" t="n">
        <f aca="false">IF(20&lt;5,0,IF(MAX(S40:X40)&gt;X45+1+$B$18,1,0))</f>
        <v>0</v>
      </c>
      <c r="Y72" s="364" t="n">
        <f aca="false">IF(21&lt;5,0,IF(MAX(T40:Y40)&gt;Y45+1+$B$18,1,0))</f>
        <v>0</v>
      </c>
      <c r="Z72" s="364" t="n">
        <f aca="false">IF(22&lt;5,0,IF(MAX(U40:Z40)&gt;Z45+1+$B$18,1,0))</f>
        <v>0</v>
      </c>
      <c r="AA72" s="364" t="n">
        <f aca="false">IF(23&lt;5,0,IF(MAX(V40:AA40)&gt;AA45+1+$B$18,1,0))</f>
        <v>0</v>
      </c>
      <c r="AB72" s="364" t="n">
        <f aca="false">IF(24&lt;5,0,IF(MAX(W40:AB40)&gt;AB45+1+$B$18,1,0))</f>
        <v>0</v>
      </c>
      <c r="AC72" s="364" t="n">
        <f aca="false">IF(25&lt;5,0,IF(MAX(X40:AC40)&gt;AC45+1+$B$18,1,0))</f>
        <v>0</v>
      </c>
      <c r="AD72" s="364" t="n">
        <f aca="false">IF(26&lt;5,0,IF(MAX(Y40:AD40)&gt;AD45+1+$B$18,1,0))</f>
        <v>0</v>
      </c>
      <c r="AE72" s="364" t="n">
        <f aca="false">IF(27&lt;5,0,IF(MAX(Z40:AE40)&gt;AE45+1+$B$18,1,0))</f>
        <v>0</v>
      </c>
      <c r="AF72" s="364" t="n">
        <f aca="false">IF(28&lt;5,0,IF(MAX(AA40:AF40)&gt;AF45+1+$B$18,1,0))</f>
        <v>0</v>
      </c>
      <c r="AG72" s="364" t="n">
        <f aca="false">IF(29&lt;5,0,IF(MAX(AB40:AG40)&gt;AG45+1+$B$18,1,0))</f>
        <v>0</v>
      </c>
      <c r="AH72" s="364" t="n">
        <f aca="false">IF(30&lt;5,0,IF(MAX(AC40:AH40)&gt;AH45+1+$B$18,1,0))</f>
        <v>0</v>
      </c>
      <c r="AI72" s="364" t="n">
        <f aca="false">IF(31&lt;5,0,IF(MAX(AD40:AI40)&gt;AI45+1+$B$18,1,0))</f>
        <v>0</v>
      </c>
      <c r="AJ72" s="364" t="n">
        <f aca="false">IF(32&lt;5,0,IF(MAX(AE40:AJ40)&gt;AJ45+1+$B$18,1,0))</f>
        <v>0</v>
      </c>
      <c r="AK72" s="364" t="n">
        <f aca="false">IF(33&lt;5,0,IF(MAX(AF40:AK40)&gt;AK45+1+$B$18,1,0))</f>
        <v>0</v>
      </c>
      <c r="AL72" s="364" t="n">
        <f aca="false">IF(34&lt;5,0,IF(MAX(AG40:AL40)&gt;AL45+1+$B$18,1,0))</f>
        <v>0</v>
      </c>
      <c r="AM72" s="364" t="n">
        <f aca="false">IF(35&lt;5,0,IF(MAX(AH40:AM40)&gt;AM45+1+$B$18,1,0))</f>
        <v>0</v>
      </c>
      <c r="AN72" s="364" t="n">
        <f aca="false">IF(36&lt;5,0,IF(MAX(AI40:AN40)&gt;AN45+1+$B$18,1,0))</f>
        <v>0</v>
      </c>
      <c r="AO72" s="364" t="n">
        <f aca="false">IF(37&lt;5,0,IF(MAX(AJ40:AO40)&gt;AO45+1+$B$18,1,0))</f>
        <v>0</v>
      </c>
      <c r="AP72" s="364" t="n">
        <f aca="false">IF(38&lt;5,0,IF(MAX(AK40:AP40)&gt;AP45+1+$B$18,1,0))</f>
        <v>0</v>
      </c>
      <c r="AQ72" s="364" t="n">
        <f aca="false">IF(39&lt;5,0,IF(MAX(AL40:AQ40)&gt;AQ45+1+$B$18,1,0))</f>
        <v>0</v>
      </c>
      <c r="AR72" s="364" t="n">
        <f aca="false">IF(40&lt;5,0,IF(MAX(AM40:AR40)&gt;AR45+1+$B$18,1,0))</f>
        <v>0</v>
      </c>
      <c r="AS72" s="364" t="n">
        <f aca="false">IF(41&lt;5,0,IF(MAX(AN40:AS40)&gt;AS45+1+$B$18,1,0))</f>
        <v>0</v>
      </c>
      <c r="AT72" s="364" t="n">
        <f aca="false">IF(42&lt;5,0,IF(MAX(AO40:AT40)&gt;AT45+1+$B$18,1,0))</f>
        <v>0</v>
      </c>
      <c r="AU72" s="364" t="n">
        <f aca="false">IF(43&lt;5,0,IF(MAX(AP40:AU40)&gt;AU45+1+$B$18,1,0))</f>
        <v>0</v>
      </c>
      <c r="AV72" s="364" t="n">
        <f aca="false">IF(44&lt;5,0,IF(MAX(AQ40:AV40)&gt;AV45+1+$B$18,1,0))</f>
        <v>0</v>
      </c>
      <c r="AW72" s="364" t="n">
        <f aca="false">IF(45&lt;5,0,IF(MAX(AR40:AW40)&gt;AW45+1+$B$18,1,0))</f>
        <v>0</v>
      </c>
      <c r="AX72" s="364" t="n">
        <f aca="false">IF(46&lt;5,0,IF(MAX(AS40:AX40)&gt;AX45+1+$B$18,1,0))</f>
        <v>0</v>
      </c>
      <c r="AY72" s="364" t="n">
        <f aca="false">IF(47&lt;5,0,IF(MAX(AT40:AY40)&gt;AY45+1+$B$18,1,0))</f>
        <v>0</v>
      </c>
      <c r="AZ72" s="364" t="n">
        <f aca="false">IF(48&lt;5,0,IF(MAX(AU40:AZ40)&gt;AZ45+1+$B$18,1,0))</f>
        <v>0</v>
      </c>
      <c r="BA72" s="364" t="n">
        <f aca="false">IF(49&lt;5,0,IF(MAX(AV40:BA40)&gt;BA45+1+$B$18,1,0))</f>
        <v>0</v>
      </c>
      <c r="BB72" s="364" t="n">
        <f aca="false">IF(50&lt;5,0,IF(MAX(AW40:BB40)&gt;BB45+1+$B$18,1,0))</f>
        <v>0</v>
      </c>
      <c r="BC72" s="364" t="n">
        <f aca="false">IF(51&lt;5,0,IF(MAX(AX40:BC40)&gt;BC45+1+$B$18,1,0))</f>
        <v>0</v>
      </c>
      <c r="BD72" s="364" t="n">
        <f aca="false">IF(52&lt;5,0,IF(MAX(AY40:BD40)&gt;BD45+1+$B$18,1,0))</f>
        <v>0</v>
      </c>
      <c r="BE72" s="364" t="n">
        <f aca="false">IF(53&lt;5,0,IF(MAX(AZ40:BE40)&gt;BE45+1+$B$18,1,0))</f>
        <v>0</v>
      </c>
      <c r="BF72" s="364" t="n">
        <f aca="false">IF(54&lt;5,0,IF(MAX(BA40:BF40)&gt;BF45+1+$B$18,1,0))</f>
        <v>0</v>
      </c>
      <c r="BG72" s="364" t="n">
        <f aca="false">IF(55&lt;5,0,IF(MAX(BB40:BG40)&gt;BG45+1+$B$18,1,0))</f>
        <v>0</v>
      </c>
      <c r="BH72" s="364" t="n">
        <f aca="false">IF(56&lt;5,0,IF(MAX(BC40:BH40)&gt;BH45+1+$B$18,1,0))</f>
        <v>0</v>
      </c>
      <c r="BI72" s="364" t="n">
        <f aca="false">IF(57&lt;5,0,IF(MAX(BD40:BI40)&gt;BI45+1+$B$18,1,0))</f>
        <v>0</v>
      </c>
      <c r="BJ72" s="364" t="n">
        <f aca="false">IF(58&lt;5,0,IF(MAX(BE40:BJ40)&gt;BJ45+1+$B$18,1,0))</f>
        <v>0</v>
      </c>
      <c r="BK72" s="364" t="n">
        <f aca="false">IF(59&lt;5,0,IF(MAX(BF40:BK40)&gt;BK45+1+$B$18,1,0))</f>
        <v>0</v>
      </c>
      <c r="BL72" s="364" t="n">
        <f aca="false">IF(60&lt;5,0,IF(MAX(BG40:BL40)&gt;BL45+1+$B$18,1,0))</f>
        <v>0</v>
      </c>
      <c r="BM72" s="364" t="n">
        <f aca="false">IF(61&lt;5,0,IF(MAX(BH40:BM40)&gt;BM45+1+$B$18,1,0))</f>
        <v>0</v>
      </c>
      <c r="BN72" s="364" t="n">
        <f aca="false">IF(62&lt;5,0,IF(MAX(BI40:BN40)&gt;BN45+1+$B$18,1,0))</f>
        <v>0</v>
      </c>
      <c r="BO72" s="364" t="n">
        <f aca="false">IF(63&lt;5,0,IF(MAX(BJ40:BO40)&gt;BO45+1+$B$18,1,0))</f>
        <v>0</v>
      </c>
      <c r="BP72" s="364" t="n">
        <f aca="false">IF(64&lt;5,0,IF(MAX(BK40:BP40)&gt;BP45+1+$B$18,1,0))</f>
        <v>0</v>
      </c>
      <c r="BQ72" s="364" t="n">
        <f aca="false">IF(65&lt;5,0,IF(MAX(BL40:BQ40)&gt;BQ45+1+$B$18,1,0))</f>
        <v>0</v>
      </c>
      <c r="BR72" s="364" t="n">
        <f aca="false">IF(66&lt;5,0,IF(MAX(BM40:BR40)&gt;BR45+1+$B$18,1,0))</f>
        <v>0</v>
      </c>
      <c r="BS72" s="364" t="n">
        <f aca="false">IF(67&lt;5,0,IF(MAX(BN40:BS40)&gt;BS45+1+$B$18,1,0))</f>
        <v>0</v>
      </c>
      <c r="BT72" s="364" t="n">
        <f aca="false">IF(68&lt;5,0,IF(MAX(BO40:BT40)&gt;BT45+1+$B$18,1,0))</f>
        <v>0</v>
      </c>
      <c r="BU72" s="364" t="n">
        <f aca="false">IF(69&lt;5,0,IF(MAX(BP40:BU40)&gt;BU45+1+$B$18,1,0))</f>
        <v>0</v>
      </c>
      <c r="BV72" s="364" t="n">
        <f aca="false">IF(70&lt;5,0,IF(MAX(BQ40:BV40)&gt;BV45+1+$B$18,1,0))</f>
        <v>0</v>
      </c>
      <c r="BW72" s="364" t="n">
        <f aca="false">IF(71&lt;5,0,IF(MAX(BR40:BW40)&gt;BW45+1+$B$18,1,0))</f>
        <v>0</v>
      </c>
      <c r="BX72" s="364" t="n">
        <f aca="false">IF(72&lt;5,0,IF(MAX(BS40:BX40)&gt;BX45+1+$B$18,1,0))</f>
        <v>0</v>
      </c>
      <c r="BY72" s="364" t="n">
        <f aca="false">IF(73&lt;5,0,IF(MAX(BT40:BY40)&gt;BY45+1+$B$18,1,0))</f>
        <v>0</v>
      </c>
      <c r="BZ72" s="364" t="n">
        <f aca="false">IF(74&lt;5,0,IF(MAX(BU40:BZ40)&gt;BZ45+1+$B$18,1,0))</f>
        <v>0</v>
      </c>
      <c r="CA72" s="364" t="n">
        <f aca="false">IF(75&lt;5,0,IF(MAX(BV40:CA40)&gt;CA45+1+$B$18,1,0))</f>
        <v>0</v>
      </c>
      <c r="CB72" s="364" t="n">
        <f aca="false">IF(76&lt;5,0,IF(MAX(BW40:CB40)&gt;CB45+1+$B$18,1,0))</f>
        <v>0</v>
      </c>
      <c r="CC72" s="364" t="n">
        <f aca="false">IF(77&lt;5,0,IF(MAX(BX40:CC40)&gt;CC45+1+$B$18,1,0))</f>
        <v>0</v>
      </c>
      <c r="CD72" s="364" t="n">
        <f aca="false">IF(78&lt;5,0,IF(MAX(BY40:CD40)&gt;CD45+1+$B$18,1,0))</f>
        <v>0</v>
      </c>
      <c r="CE72" s="364" t="n">
        <f aca="false">IF(79&lt;5,0,IF(MAX(BZ40:CE40)&gt;CE45+1+$B$18,1,0))</f>
        <v>0</v>
      </c>
      <c r="CF72" s="364" t="n">
        <f aca="false">IF(80&lt;5,0,IF(MAX(CA40:CF40)&gt;CF45+1+$B$18,1,0))</f>
        <v>0</v>
      </c>
      <c r="CG72" s="364" t="n">
        <f aca="false">IF(81&lt;5,0,IF(MAX(CB40:CG40)&gt;CG45+1+$B$18,1,0))</f>
        <v>0</v>
      </c>
      <c r="CH72" s="364" t="n">
        <f aca="false">IF(82&lt;5,0,IF(MAX(CC40:CH40)&gt;CH45+1+$B$18,1,0))</f>
        <v>0</v>
      </c>
      <c r="CI72" s="364" t="n">
        <f aca="false">IF(83&lt;5,0,IF(MAX(CD40:CI40)&gt;CI45+1+$B$18,1,0))</f>
        <v>0</v>
      </c>
      <c r="CJ72" s="364" t="n">
        <f aca="false">IF(84&lt;5,0,IF(MAX(CE40:CJ40)&gt;CJ45+1+$B$18,1,0))</f>
        <v>0</v>
      </c>
      <c r="CK72" s="364" t="n">
        <f aca="false">IF(85&lt;5,0,IF(MAX(CF40:CK40)&gt;CK45+1+$B$18,1,0))</f>
        <v>0</v>
      </c>
      <c r="CL72" s="364" t="n">
        <f aca="false">IF(86&lt;5,0,IF(MAX(CG40:CL40)&gt;CL45+1+$B$18,1,0))</f>
        <v>0</v>
      </c>
      <c r="CM72" s="364" t="n">
        <f aca="false">IF(87&lt;5,0,IF(MAX(CH40:CM40)&gt;CM45+1+$B$18,1,0))</f>
        <v>0</v>
      </c>
      <c r="CN72" s="364" t="n">
        <f aca="false">IF(88&lt;5,0,IF(MAX(CI40:CN40)&gt;CN45+1+$B$18,1,0))</f>
        <v>0</v>
      </c>
      <c r="CO72" s="364" t="n">
        <f aca="false">IF(89&lt;5,0,IF(MAX(CJ40:CO40)&gt;CO45+1+$B$18,1,0))</f>
        <v>0</v>
      </c>
      <c r="CP72" s="364" t="n">
        <f aca="false">IF(90&lt;5,0,IF(MAX(CK40:CP40)&gt;CP45+1+$B$18,1,0))</f>
        <v>0</v>
      </c>
      <c r="CQ72" s="364" t="n">
        <f aca="false">IF(91&lt;5,0,IF(MAX(CL40:CQ40)&gt;CQ45+1+$B$18,1,0))</f>
        <v>0</v>
      </c>
      <c r="CR72" s="364" t="n">
        <f aca="false">IF(92&lt;5,0,IF(MAX(CM40:CR40)&gt;CR45+1+$B$18,1,0))</f>
        <v>0</v>
      </c>
      <c r="CS72" s="364" t="n">
        <f aca="false">IF(93&lt;5,0,IF(MAX(CN40:CS40)&gt;CS45+1+$B$18,1,0))</f>
        <v>0</v>
      </c>
      <c r="CT72" s="364" t="n">
        <f aca="false">IF(94&lt;5,0,IF(MAX(CO40:CT40)&gt;CT45+1+$B$18,1,0))</f>
        <v>0</v>
      </c>
      <c r="CU72" s="364" t="n">
        <f aca="false">IF(95&lt;5,0,IF(MAX(CP40:CU40)&gt;CU45+1+$B$18,1,0))</f>
        <v>0</v>
      </c>
      <c r="CV72" s="364" t="n">
        <f aca="false">IF(96&lt;5,0,IF(MAX(CQ40:CV40)&gt;CV45+1+$B$18,1,0))</f>
        <v>0</v>
      </c>
      <c r="CW72" s="364" t="n">
        <f aca="false">IF(97&lt;5,0,IF(MAX(CR40:CW40)&gt;CW45+1+$B$18,1,0))</f>
        <v>0</v>
      </c>
      <c r="CX72" s="364" t="n">
        <f aca="false">IF(98&lt;5,0,IF(MAX(CS40:CX40)&gt;CX45+1+$B$18,1,0))</f>
        <v>0</v>
      </c>
      <c r="CY72" s="364" t="n">
        <f aca="false">IF(99&lt;5,0,IF(MAX(CT40:CY40)&gt;CY45+1+$B$18,1,0))</f>
        <v>0</v>
      </c>
      <c r="CZ72" s="364" t="n">
        <f aca="false">IF(100&lt;5,0,IF(MAX(CU40:CZ40)&gt;CZ45+1+$B$18,1,0))</f>
        <v>0</v>
      </c>
      <c r="DA72" s="364" t="n">
        <f aca="false">IF(101&lt;5,0,IF(MAX(CV40:DA40)&gt;DA45+1+$B$18,1,0))</f>
        <v>0</v>
      </c>
      <c r="DB72" s="364" t="n">
        <f aca="false">IF(102&lt;5,0,IF(MAX(CW40:DB40)&gt;DB45+1+$B$18,1,0))</f>
        <v>0</v>
      </c>
      <c r="DC72" s="364" t="n">
        <f aca="false">IF(103&lt;5,0,IF(MAX(CX40:DC40)&gt;DC45+1+$B$18,1,0))</f>
        <v>0</v>
      </c>
      <c r="DD72" s="364" t="n">
        <f aca="false">IF(104&lt;5,0,IF(MAX(CY40:DD40)&gt;DD45+1+$B$18,1,0))</f>
        <v>0</v>
      </c>
      <c r="DE72" s="364" t="n">
        <f aca="false">IF(105&lt;5,0,IF(MAX(CZ40:DE40)&gt;DE45+1+$B$18,1,0))</f>
        <v>0</v>
      </c>
    </row>
    <row r="73" customFormat="false" ht="13.5" hidden="false" customHeight="true" outlineLevel="0" collapsed="false">
      <c r="A73" s="109" t="s">
        <v>1237</v>
      </c>
      <c r="B73" s="223" t="n">
        <f aca="false">$B$29</f>
        <v>180000</v>
      </c>
      <c r="E73" s="364" t="n">
        <f aca="false">IF(1&lt;5,0,IF(MAX(E40)&gt;E45+2+$B$18,1,0))</f>
        <v>0</v>
      </c>
      <c r="F73" s="364" t="n">
        <f aca="false">IF(2&lt;5,0,IF(MAX(E40:F40)&gt;F45+2+$B$18,1,0))</f>
        <v>0</v>
      </c>
      <c r="G73" s="364" t="n">
        <f aca="false">IF(3&lt;5,0,IF(MAX(E40:G40)&gt;G45+2+$B$18,1,0))</f>
        <v>0</v>
      </c>
      <c r="H73" s="364" t="n">
        <f aca="false">IF(4&lt;5,0,IF(MAX(E40:H40)&gt;H45+2+$B$18,1,0))</f>
        <v>0</v>
      </c>
      <c r="I73" s="364" t="n">
        <f aca="false">IF(5&lt;5,0,IF(MAX(E40:I40)&gt;I45+2+$B$18,1,0))</f>
        <v>0</v>
      </c>
      <c r="J73" s="364" t="n">
        <f aca="false">IF(6&lt;5,0,IF(MAX(E40:J40)&gt;J45+2+$B$18,1,0))</f>
        <v>0</v>
      </c>
      <c r="K73" s="364" t="n">
        <f aca="false">IF(7&lt;5,0,IF(MAX(F40:K40)&gt;K45+2+$B$18,1,0))</f>
        <v>0</v>
      </c>
      <c r="L73" s="364" t="n">
        <f aca="false">IF(8&lt;5,0,IF(MAX(G40:L40)&gt;L45+2+$B$18,1,0))</f>
        <v>0</v>
      </c>
      <c r="M73" s="364" t="n">
        <f aca="false">IF(9&lt;5,0,IF(MAX(H40:M40)&gt;M45+2+$B$18,1,0))</f>
        <v>0</v>
      </c>
      <c r="N73" s="364" t="n">
        <f aca="false">IF(10&lt;5,0,IF(MAX(I40:N40)&gt;N45+2+$B$18,1,0))</f>
        <v>0</v>
      </c>
      <c r="O73" s="364" t="n">
        <f aca="false">IF(11&lt;5,0,IF(MAX(J40:O40)&gt;O45+2+$B$18,1,0))</f>
        <v>0</v>
      </c>
      <c r="P73" s="364" t="n">
        <f aca="false">IF(12&lt;5,0,IF(MAX(K40:P40)&gt;P45+2+$B$18,1,0))</f>
        <v>0</v>
      </c>
      <c r="Q73" s="364" t="n">
        <f aca="false">IF(13&lt;5,0,IF(MAX(L40:Q40)&gt;Q45+2+$B$18,1,0))</f>
        <v>0</v>
      </c>
      <c r="R73" s="364" t="n">
        <f aca="false">IF(14&lt;5,0,IF(MAX(M40:R40)&gt;R45+2+$B$18,1,0))</f>
        <v>0</v>
      </c>
      <c r="S73" s="364" t="n">
        <f aca="false">IF(15&lt;5,0,IF(MAX(N40:S40)&gt;S45+2+$B$18,1,0))</f>
        <v>0</v>
      </c>
      <c r="T73" s="364" t="n">
        <f aca="false">IF(16&lt;5,0,IF(MAX(O40:T40)&gt;T45+2+$B$18,1,0))</f>
        <v>0</v>
      </c>
      <c r="U73" s="364" t="n">
        <f aca="false">IF(17&lt;5,0,IF(MAX(P40:U40)&gt;U45+2+$B$18,1,0))</f>
        <v>0</v>
      </c>
      <c r="V73" s="364" t="n">
        <f aca="false">IF(18&lt;5,0,IF(MAX(Q40:V40)&gt;V45+2+$B$18,1,0))</f>
        <v>0</v>
      </c>
      <c r="W73" s="364" t="n">
        <f aca="false">IF(19&lt;5,0,IF(MAX(R40:W40)&gt;W45+2+$B$18,1,0))</f>
        <v>0</v>
      </c>
      <c r="X73" s="364" t="n">
        <f aca="false">IF(20&lt;5,0,IF(MAX(S40:X40)&gt;X45+2+$B$18,1,0))</f>
        <v>0</v>
      </c>
      <c r="Y73" s="364" t="n">
        <f aca="false">IF(21&lt;5,0,IF(MAX(T40:Y40)&gt;Y45+2+$B$18,1,0))</f>
        <v>0</v>
      </c>
      <c r="Z73" s="364" t="n">
        <f aca="false">IF(22&lt;5,0,IF(MAX(U40:Z40)&gt;Z45+2+$B$18,1,0))</f>
        <v>0</v>
      </c>
      <c r="AA73" s="364" t="n">
        <f aca="false">IF(23&lt;5,0,IF(MAX(V40:AA40)&gt;AA45+2+$B$18,1,0))</f>
        <v>0</v>
      </c>
      <c r="AB73" s="364" t="n">
        <f aca="false">IF(24&lt;5,0,IF(MAX(W40:AB40)&gt;AB45+2+$B$18,1,0))</f>
        <v>0</v>
      </c>
      <c r="AC73" s="364" t="n">
        <f aca="false">IF(25&lt;5,0,IF(MAX(X40:AC40)&gt;AC45+2+$B$18,1,0))</f>
        <v>0</v>
      </c>
      <c r="AD73" s="364" t="n">
        <f aca="false">IF(26&lt;5,0,IF(MAX(Y40:AD40)&gt;AD45+2+$B$18,1,0))</f>
        <v>0</v>
      </c>
      <c r="AE73" s="364" t="n">
        <f aca="false">IF(27&lt;5,0,IF(MAX(Z40:AE40)&gt;AE45+2+$B$18,1,0))</f>
        <v>0</v>
      </c>
      <c r="AF73" s="364" t="n">
        <f aca="false">IF(28&lt;5,0,IF(MAX(AA40:AF40)&gt;AF45+2+$B$18,1,0))</f>
        <v>0</v>
      </c>
      <c r="AG73" s="364" t="n">
        <f aca="false">IF(29&lt;5,0,IF(MAX(AB40:AG40)&gt;AG45+2+$B$18,1,0))</f>
        <v>0</v>
      </c>
      <c r="AH73" s="364" t="n">
        <f aca="false">IF(30&lt;5,0,IF(MAX(AC40:AH40)&gt;AH45+2+$B$18,1,0))</f>
        <v>0</v>
      </c>
      <c r="AI73" s="364" t="n">
        <f aca="false">IF(31&lt;5,0,IF(MAX(AD40:AI40)&gt;AI45+2+$B$18,1,0))</f>
        <v>0</v>
      </c>
      <c r="AJ73" s="364" t="n">
        <f aca="false">IF(32&lt;5,0,IF(MAX(AE40:AJ40)&gt;AJ45+2+$B$18,1,0))</f>
        <v>0</v>
      </c>
      <c r="AK73" s="364" t="n">
        <f aca="false">IF(33&lt;5,0,IF(MAX(AF40:AK40)&gt;AK45+2+$B$18,1,0))</f>
        <v>0</v>
      </c>
      <c r="AL73" s="364" t="n">
        <f aca="false">IF(34&lt;5,0,IF(MAX(AG40:AL40)&gt;AL45+2+$B$18,1,0))</f>
        <v>0</v>
      </c>
      <c r="AM73" s="364" t="n">
        <f aca="false">IF(35&lt;5,0,IF(MAX(AH40:AM40)&gt;AM45+2+$B$18,1,0))</f>
        <v>0</v>
      </c>
      <c r="AN73" s="364" t="n">
        <f aca="false">IF(36&lt;5,0,IF(MAX(AI40:AN40)&gt;AN45+2+$B$18,1,0))</f>
        <v>0</v>
      </c>
      <c r="AO73" s="364" t="n">
        <f aca="false">IF(37&lt;5,0,IF(MAX(AJ40:AO40)&gt;AO45+2+$B$18,1,0))</f>
        <v>0</v>
      </c>
      <c r="AP73" s="364" t="n">
        <f aca="false">IF(38&lt;5,0,IF(MAX(AK40:AP40)&gt;AP45+2+$B$18,1,0))</f>
        <v>0</v>
      </c>
      <c r="AQ73" s="364" t="n">
        <f aca="false">IF(39&lt;5,0,IF(MAX(AL40:AQ40)&gt;AQ45+2+$B$18,1,0))</f>
        <v>0</v>
      </c>
      <c r="AR73" s="364" t="n">
        <f aca="false">IF(40&lt;5,0,IF(MAX(AM40:AR40)&gt;AR45+2+$B$18,1,0))</f>
        <v>0</v>
      </c>
      <c r="AS73" s="364" t="n">
        <f aca="false">IF(41&lt;5,0,IF(MAX(AN40:AS40)&gt;AS45+2+$B$18,1,0))</f>
        <v>0</v>
      </c>
      <c r="AT73" s="364" t="n">
        <f aca="false">IF(42&lt;5,0,IF(MAX(AO40:AT40)&gt;AT45+2+$B$18,1,0))</f>
        <v>0</v>
      </c>
      <c r="AU73" s="364" t="n">
        <f aca="false">IF(43&lt;5,0,IF(MAX(AP40:AU40)&gt;AU45+2+$B$18,1,0))</f>
        <v>0</v>
      </c>
      <c r="AV73" s="364" t="n">
        <f aca="false">IF(44&lt;5,0,IF(MAX(AQ40:AV40)&gt;AV45+2+$B$18,1,0))</f>
        <v>0</v>
      </c>
      <c r="AW73" s="364" t="n">
        <f aca="false">IF(45&lt;5,0,IF(MAX(AR40:AW40)&gt;AW45+2+$B$18,1,0))</f>
        <v>0</v>
      </c>
      <c r="AX73" s="364" t="n">
        <f aca="false">IF(46&lt;5,0,IF(MAX(AS40:AX40)&gt;AX45+2+$B$18,1,0))</f>
        <v>0</v>
      </c>
      <c r="AY73" s="364" t="n">
        <f aca="false">IF(47&lt;5,0,IF(MAX(AT40:AY40)&gt;AY45+2+$B$18,1,0))</f>
        <v>0</v>
      </c>
      <c r="AZ73" s="364" t="n">
        <f aca="false">IF(48&lt;5,0,IF(MAX(AU40:AZ40)&gt;AZ45+2+$B$18,1,0))</f>
        <v>0</v>
      </c>
      <c r="BA73" s="364" t="n">
        <f aca="false">IF(49&lt;5,0,IF(MAX(AV40:BA40)&gt;BA45+2+$B$18,1,0))</f>
        <v>0</v>
      </c>
      <c r="BB73" s="364" t="n">
        <f aca="false">IF(50&lt;5,0,IF(MAX(AW40:BB40)&gt;BB45+2+$B$18,1,0))</f>
        <v>0</v>
      </c>
      <c r="BC73" s="364" t="n">
        <f aca="false">IF(51&lt;5,0,IF(MAX(AX40:BC40)&gt;BC45+2+$B$18,1,0))</f>
        <v>0</v>
      </c>
      <c r="BD73" s="364" t="n">
        <f aca="false">IF(52&lt;5,0,IF(MAX(AY40:BD40)&gt;BD45+2+$B$18,1,0))</f>
        <v>0</v>
      </c>
      <c r="BE73" s="364" t="n">
        <f aca="false">IF(53&lt;5,0,IF(MAX(AZ40:BE40)&gt;BE45+2+$B$18,1,0))</f>
        <v>0</v>
      </c>
      <c r="BF73" s="364" t="n">
        <f aca="false">IF(54&lt;5,0,IF(MAX(BA40:BF40)&gt;BF45+2+$B$18,1,0))</f>
        <v>0</v>
      </c>
      <c r="BG73" s="364" t="n">
        <f aca="false">IF(55&lt;5,0,IF(MAX(BB40:BG40)&gt;BG45+2+$B$18,1,0))</f>
        <v>0</v>
      </c>
      <c r="BH73" s="364" t="n">
        <f aca="false">IF(56&lt;5,0,IF(MAX(BC40:BH40)&gt;BH45+2+$B$18,1,0))</f>
        <v>0</v>
      </c>
      <c r="BI73" s="364" t="n">
        <f aca="false">IF(57&lt;5,0,IF(MAX(BD40:BI40)&gt;BI45+2+$B$18,1,0))</f>
        <v>0</v>
      </c>
      <c r="BJ73" s="364" t="n">
        <f aca="false">IF(58&lt;5,0,IF(MAX(BE40:BJ40)&gt;BJ45+2+$B$18,1,0))</f>
        <v>0</v>
      </c>
      <c r="BK73" s="364" t="n">
        <f aca="false">IF(59&lt;5,0,IF(MAX(BF40:BK40)&gt;BK45+2+$B$18,1,0))</f>
        <v>0</v>
      </c>
      <c r="BL73" s="364" t="n">
        <f aca="false">IF(60&lt;5,0,IF(MAX(BG40:BL40)&gt;BL45+2+$B$18,1,0))</f>
        <v>0</v>
      </c>
      <c r="BM73" s="364" t="n">
        <f aca="false">IF(61&lt;5,0,IF(MAX(BH40:BM40)&gt;BM45+2+$B$18,1,0))</f>
        <v>0</v>
      </c>
      <c r="BN73" s="364" t="n">
        <f aca="false">IF(62&lt;5,0,IF(MAX(BI40:BN40)&gt;BN45+2+$B$18,1,0))</f>
        <v>0</v>
      </c>
      <c r="BO73" s="364" t="n">
        <f aca="false">IF(63&lt;5,0,IF(MAX(BJ40:BO40)&gt;BO45+2+$B$18,1,0))</f>
        <v>0</v>
      </c>
      <c r="BP73" s="364" t="n">
        <f aca="false">IF(64&lt;5,0,IF(MAX(BK40:BP40)&gt;BP45+2+$B$18,1,0))</f>
        <v>0</v>
      </c>
      <c r="BQ73" s="364" t="n">
        <f aca="false">IF(65&lt;5,0,IF(MAX(BL40:BQ40)&gt;BQ45+2+$B$18,1,0))</f>
        <v>0</v>
      </c>
      <c r="BR73" s="364" t="n">
        <f aca="false">IF(66&lt;5,0,IF(MAX(BM40:BR40)&gt;BR45+2+$B$18,1,0))</f>
        <v>0</v>
      </c>
      <c r="BS73" s="364" t="n">
        <f aca="false">IF(67&lt;5,0,IF(MAX(BN40:BS40)&gt;BS45+2+$B$18,1,0))</f>
        <v>0</v>
      </c>
      <c r="BT73" s="364" t="n">
        <f aca="false">IF(68&lt;5,0,IF(MAX(BO40:BT40)&gt;BT45+2+$B$18,1,0))</f>
        <v>0</v>
      </c>
      <c r="BU73" s="364" t="n">
        <f aca="false">IF(69&lt;5,0,IF(MAX(BP40:BU40)&gt;BU45+2+$B$18,1,0))</f>
        <v>0</v>
      </c>
      <c r="BV73" s="364" t="n">
        <f aca="false">IF(70&lt;5,0,IF(MAX(BQ40:BV40)&gt;BV45+2+$B$18,1,0))</f>
        <v>0</v>
      </c>
      <c r="BW73" s="364" t="n">
        <f aca="false">IF(71&lt;5,0,IF(MAX(BR40:BW40)&gt;BW45+2+$B$18,1,0))</f>
        <v>0</v>
      </c>
      <c r="BX73" s="364" t="n">
        <f aca="false">IF(72&lt;5,0,IF(MAX(BS40:BX40)&gt;BX45+2+$B$18,1,0))</f>
        <v>0</v>
      </c>
      <c r="BY73" s="364" t="n">
        <f aca="false">IF(73&lt;5,0,IF(MAX(BT40:BY40)&gt;BY45+2+$B$18,1,0))</f>
        <v>0</v>
      </c>
      <c r="BZ73" s="364" t="n">
        <f aca="false">IF(74&lt;5,0,IF(MAX(BU40:BZ40)&gt;BZ45+2+$B$18,1,0))</f>
        <v>0</v>
      </c>
      <c r="CA73" s="364" t="n">
        <f aca="false">IF(75&lt;5,0,IF(MAX(BV40:CA40)&gt;CA45+2+$B$18,1,0))</f>
        <v>0</v>
      </c>
      <c r="CB73" s="364" t="n">
        <f aca="false">IF(76&lt;5,0,IF(MAX(BW40:CB40)&gt;CB45+2+$B$18,1,0))</f>
        <v>0</v>
      </c>
      <c r="CC73" s="364" t="n">
        <f aca="false">IF(77&lt;5,0,IF(MAX(BX40:CC40)&gt;CC45+2+$B$18,1,0))</f>
        <v>0</v>
      </c>
      <c r="CD73" s="364" t="n">
        <f aca="false">IF(78&lt;5,0,IF(MAX(BY40:CD40)&gt;CD45+2+$B$18,1,0))</f>
        <v>0</v>
      </c>
      <c r="CE73" s="364" t="n">
        <f aca="false">IF(79&lt;5,0,IF(MAX(BZ40:CE40)&gt;CE45+2+$B$18,1,0))</f>
        <v>0</v>
      </c>
      <c r="CF73" s="364" t="n">
        <f aca="false">IF(80&lt;5,0,IF(MAX(CA40:CF40)&gt;CF45+2+$B$18,1,0))</f>
        <v>0</v>
      </c>
      <c r="CG73" s="364" t="n">
        <f aca="false">IF(81&lt;5,0,IF(MAX(CB40:CG40)&gt;CG45+2+$B$18,1,0))</f>
        <v>0</v>
      </c>
      <c r="CH73" s="364" t="n">
        <f aca="false">IF(82&lt;5,0,IF(MAX(CC40:CH40)&gt;CH45+2+$B$18,1,0))</f>
        <v>0</v>
      </c>
      <c r="CI73" s="364" t="n">
        <f aca="false">IF(83&lt;5,0,IF(MAX(CD40:CI40)&gt;CI45+2+$B$18,1,0))</f>
        <v>0</v>
      </c>
      <c r="CJ73" s="364" t="n">
        <f aca="false">IF(84&lt;5,0,IF(MAX(CE40:CJ40)&gt;CJ45+2+$B$18,1,0))</f>
        <v>0</v>
      </c>
      <c r="CK73" s="364" t="n">
        <f aca="false">IF(85&lt;5,0,IF(MAX(CF40:CK40)&gt;CK45+2+$B$18,1,0))</f>
        <v>0</v>
      </c>
      <c r="CL73" s="364" t="n">
        <f aca="false">IF(86&lt;5,0,IF(MAX(CG40:CL40)&gt;CL45+2+$B$18,1,0))</f>
        <v>0</v>
      </c>
      <c r="CM73" s="364" t="n">
        <f aca="false">IF(87&lt;5,0,IF(MAX(CH40:CM40)&gt;CM45+2+$B$18,1,0))</f>
        <v>0</v>
      </c>
      <c r="CN73" s="364" t="n">
        <f aca="false">IF(88&lt;5,0,IF(MAX(CI40:CN40)&gt;CN45+2+$B$18,1,0))</f>
        <v>0</v>
      </c>
      <c r="CO73" s="364" t="n">
        <f aca="false">IF(89&lt;5,0,IF(MAX(CJ40:CO40)&gt;CO45+2+$B$18,1,0))</f>
        <v>0</v>
      </c>
      <c r="CP73" s="364" t="n">
        <f aca="false">IF(90&lt;5,0,IF(MAX(CK40:CP40)&gt;CP45+2+$B$18,1,0))</f>
        <v>0</v>
      </c>
      <c r="CQ73" s="364" t="n">
        <f aca="false">IF(91&lt;5,0,IF(MAX(CL40:CQ40)&gt;CQ45+2+$B$18,1,0))</f>
        <v>0</v>
      </c>
      <c r="CR73" s="364" t="n">
        <f aca="false">IF(92&lt;5,0,IF(MAX(CM40:CR40)&gt;CR45+2+$B$18,1,0))</f>
        <v>0</v>
      </c>
      <c r="CS73" s="364" t="n">
        <f aca="false">IF(93&lt;5,0,IF(MAX(CN40:CS40)&gt;CS45+2+$B$18,1,0))</f>
        <v>0</v>
      </c>
      <c r="CT73" s="364" t="n">
        <f aca="false">IF(94&lt;5,0,IF(MAX(CO40:CT40)&gt;CT45+2+$B$18,1,0))</f>
        <v>0</v>
      </c>
      <c r="CU73" s="364" t="n">
        <f aca="false">IF(95&lt;5,0,IF(MAX(CP40:CU40)&gt;CU45+2+$B$18,1,0))</f>
        <v>0</v>
      </c>
      <c r="CV73" s="364" t="n">
        <f aca="false">IF(96&lt;5,0,IF(MAX(CQ40:CV40)&gt;CV45+2+$B$18,1,0))</f>
        <v>0</v>
      </c>
      <c r="CW73" s="364" t="n">
        <f aca="false">IF(97&lt;5,0,IF(MAX(CR40:CW40)&gt;CW45+2+$B$18,1,0))</f>
        <v>0</v>
      </c>
      <c r="CX73" s="364" t="n">
        <f aca="false">IF(98&lt;5,0,IF(MAX(CS40:CX40)&gt;CX45+2+$B$18,1,0))</f>
        <v>0</v>
      </c>
      <c r="CY73" s="364" t="n">
        <f aca="false">IF(99&lt;5,0,IF(MAX(CT40:CY40)&gt;CY45+2+$B$18,1,0))</f>
        <v>0</v>
      </c>
      <c r="CZ73" s="364" t="n">
        <f aca="false">IF(100&lt;5,0,IF(MAX(CU40:CZ40)&gt;CZ45+2+$B$18,1,0))</f>
        <v>0</v>
      </c>
      <c r="DA73" s="364" t="n">
        <f aca="false">IF(101&lt;5,0,IF(MAX(CV40:DA40)&gt;DA45+2+$B$18,1,0))</f>
        <v>0</v>
      </c>
      <c r="DB73" s="364" t="n">
        <f aca="false">IF(102&lt;5,0,IF(MAX(CW40:DB40)&gt;DB45+2+$B$18,1,0))</f>
        <v>0</v>
      </c>
      <c r="DC73" s="364" t="n">
        <f aca="false">IF(103&lt;5,0,IF(MAX(CX40:DC40)&gt;DC45+2+$B$18,1,0))</f>
        <v>0</v>
      </c>
      <c r="DD73" s="364" t="n">
        <f aca="false">IF(104&lt;5,0,IF(MAX(CY40:DD40)&gt;DD45+2+$B$18,1,0))</f>
        <v>0</v>
      </c>
      <c r="DE73" s="364" t="n">
        <f aca="false">IF(105&lt;5,0,IF(MAX(CZ40:DE40)&gt;DE45+2+$B$18,1,0))</f>
        <v>0</v>
      </c>
    </row>
    <row r="74" customFormat="false" ht="13.5" hidden="false" customHeight="true" outlineLevel="0" collapsed="false">
      <c r="A74" s="109" t="s">
        <v>1238</v>
      </c>
      <c r="B74" s="223" t="n">
        <f aca="false">$B$29</f>
        <v>180000</v>
      </c>
      <c r="E74" s="364" t="n">
        <f aca="false">IF(1&lt;5,0,IF(MAX(E40)&gt;E45+3+$B$18,1,0))</f>
        <v>0</v>
      </c>
      <c r="F74" s="364" t="n">
        <f aca="false">IF(2&lt;5,0,IF(MAX(E40:F40)&gt;F45+3+$B$18,1,0))</f>
        <v>0</v>
      </c>
      <c r="G74" s="364" t="n">
        <f aca="false">IF(3&lt;5,0,IF(MAX(E40:G40)&gt;G45+3+$B$18,1,0))</f>
        <v>0</v>
      </c>
      <c r="H74" s="364" t="n">
        <f aca="false">IF(4&lt;5,0,IF(MAX(E40:H40)&gt;H45+3+$B$18,1,0))</f>
        <v>0</v>
      </c>
      <c r="I74" s="364" t="n">
        <f aca="false">IF(5&lt;5,0,IF(MAX(E40:I40)&gt;I45+3+$B$18,1,0))</f>
        <v>0</v>
      </c>
      <c r="J74" s="364" t="n">
        <f aca="false">IF(6&lt;5,0,IF(MAX(E40:J40)&gt;J45+3+$B$18,1,0))</f>
        <v>0</v>
      </c>
      <c r="K74" s="364" t="n">
        <f aca="false">IF(7&lt;5,0,IF(MAX(F40:K40)&gt;K45+3+$B$18,1,0))</f>
        <v>0</v>
      </c>
      <c r="L74" s="364" t="n">
        <f aca="false">IF(8&lt;5,0,IF(MAX(G40:L40)&gt;L45+3+$B$18,1,0))</f>
        <v>0</v>
      </c>
      <c r="M74" s="364" t="n">
        <f aca="false">IF(9&lt;5,0,IF(MAX(H40:M40)&gt;M45+3+$B$18,1,0))</f>
        <v>0</v>
      </c>
      <c r="N74" s="364" t="n">
        <f aca="false">IF(10&lt;5,0,IF(MAX(I40:N40)&gt;N45+3+$B$18,1,0))</f>
        <v>0</v>
      </c>
      <c r="O74" s="364" t="n">
        <f aca="false">IF(11&lt;5,0,IF(MAX(J40:O40)&gt;O45+3+$B$18,1,0))</f>
        <v>0</v>
      </c>
      <c r="P74" s="364" t="n">
        <f aca="false">IF(12&lt;5,0,IF(MAX(K40:P40)&gt;P45+3+$B$18,1,0))</f>
        <v>0</v>
      </c>
      <c r="Q74" s="364" t="n">
        <f aca="false">IF(13&lt;5,0,IF(MAX(L40:Q40)&gt;Q45+3+$B$18,1,0))</f>
        <v>0</v>
      </c>
      <c r="R74" s="364" t="n">
        <f aca="false">IF(14&lt;5,0,IF(MAX(M40:R40)&gt;R45+3+$B$18,1,0))</f>
        <v>0</v>
      </c>
      <c r="S74" s="364" t="n">
        <f aca="false">IF(15&lt;5,0,IF(MAX(N40:S40)&gt;S45+3+$B$18,1,0))</f>
        <v>0</v>
      </c>
      <c r="T74" s="364" t="n">
        <f aca="false">IF(16&lt;5,0,IF(MAX(O40:T40)&gt;T45+3+$B$18,1,0))</f>
        <v>0</v>
      </c>
      <c r="U74" s="364" t="n">
        <f aca="false">IF(17&lt;5,0,IF(MAX(P40:U40)&gt;U45+3+$B$18,1,0))</f>
        <v>0</v>
      </c>
      <c r="V74" s="364" t="n">
        <f aca="false">IF(18&lt;5,0,IF(MAX(Q40:V40)&gt;V45+3+$B$18,1,0))</f>
        <v>0</v>
      </c>
      <c r="W74" s="364" t="n">
        <f aca="false">IF(19&lt;5,0,IF(MAX(R40:W40)&gt;W45+3+$B$18,1,0))</f>
        <v>0</v>
      </c>
      <c r="X74" s="364" t="n">
        <f aca="false">IF(20&lt;5,0,IF(MAX(S40:X40)&gt;X45+3+$B$18,1,0))</f>
        <v>0</v>
      </c>
      <c r="Y74" s="364" t="n">
        <f aca="false">IF(21&lt;5,0,IF(MAX(T40:Y40)&gt;Y45+3+$B$18,1,0))</f>
        <v>0</v>
      </c>
      <c r="Z74" s="364" t="n">
        <f aca="false">IF(22&lt;5,0,IF(MAX(U40:Z40)&gt;Z45+3+$B$18,1,0))</f>
        <v>0</v>
      </c>
      <c r="AA74" s="364" t="n">
        <f aca="false">IF(23&lt;5,0,IF(MAX(V40:AA40)&gt;AA45+3+$B$18,1,0))</f>
        <v>0</v>
      </c>
      <c r="AB74" s="364" t="n">
        <f aca="false">IF(24&lt;5,0,IF(MAX(W40:AB40)&gt;AB45+3+$B$18,1,0))</f>
        <v>0</v>
      </c>
      <c r="AC74" s="364" t="n">
        <f aca="false">IF(25&lt;5,0,IF(MAX(X40:AC40)&gt;AC45+3+$B$18,1,0))</f>
        <v>0</v>
      </c>
      <c r="AD74" s="364" t="n">
        <f aca="false">IF(26&lt;5,0,IF(MAX(Y40:AD40)&gt;AD45+3+$B$18,1,0))</f>
        <v>0</v>
      </c>
      <c r="AE74" s="364" t="n">
        <f aca="false">IF(27&lt;5,0,IF(MAX(Z40:AE40)&gt;AE45+3+$B$18,1,0))</f>
        <v>0</v>
      </c>
      <c r="AF74" s="364" t="n">
        <f aca="false">IF(28&lt;5,0,IF(MAX(AA40:AF40)&gt;AF45+3+$B$18,1,0))</f>
        <v>0</v>
      </c>
      <c r="AG74" s="364" t="n">
        <f aca="false">IF(29&lt;5,0,IF(MAX(AB40:AG40)&gt;AG45+3+$B$18,1,0))</f>
        <v>0</v>
      </c>
      <c r="AH74" s="364" t="n">
        <f aca="false">IF(30&lt;5,0,IF(MAX(AC40:AH40)&gt;AH45+3+$B$18,1,0))</f>
        <v>0</v>
      </c>
      <c r="AI74" s="364" t="n">
        <f aca="false">IF(31&lt;5,0,IF(MAX(AD40:AI40)&gt;AI45+3+$B$18,1,0))</f>
        <v>0</v>
      </c>
      <c r="AJ74" s="364" t="n">
        <f aca="false">IF(32&lt;5,0,IF(MAX(AE40:AJ40)&gt;AJ45+3+$B$18,1,0))</f>
        <v>0</v>
      </c>
      <c r="AK74" s="364" t="n">
        <f aca="false">IF(33&lt;5,0,IF(MAX(AF40:AK40)&gt;AK45+3+$B$18,1,0))</f>
        <v>0</v>
      </c>
      <c r="AL74" s="364" t="n">
        <f aca="false">IF(34&lt;5,0,IF(MAX(AG40:AL40)&gt;AL45+3+$B$18,1,0))</f>
        <v>0</v>
      </c>
      <c r="AM74" s="364" t="n">
        <f aca="false">IF(35&lt;5,0,IF(MAX(AH40:AM40)&gt;AM45+3+$B$18,1,0))</f>
        <v>0</v>
      </c>
      <c r="AN74" s="364" t="n">
        <f aca="false">IF(36&lt;5,0,IF(MAX(AI40:AN40)&gt;AN45+3+$B$18,1,0))</f>
        <v>0</v>
      </c>
      <c r="AO74" s="364" t="n">
        <f aca="false">IF(37&lt;5,0,IF(MAX(AJ40:AO40)&gt;AO45+3+$B$18,1,0))</f>
        <v>0</v>
      </c>
      <c r="AP74" s="364" t="n">
        <f aca="false">IF(38&lt;5,0,IF(MAX(AK40:AP40)&gt;AP45+3+$B$18,1,0))</f>
        <v>0</v>
      </c>
      <c r="AQ74" s="364" t="n">
        <f aca="false">IF(39&lt;5,0,IF(MAX(AL40:AQ40)&gt;AQ45+3+$B$18,1,0))</f>
        <v>0</v>
      </c>
      <c r="AR74" s="364" t="n">
        <f aca="false">IF(40&lt;5,0,IF(MAX(AM40:AR40)&gt;AR45+3+$B$18,1,0))</f>
        <v>0</v>
      </c>
      <c r="AS74" s="364" t="n">
        <f aca="false">IF(41&lt;5,0,IF(MAX(AN40:AS40)&gt;AS45+3+$B$18,1,0))</f>
        <v>0</v>
      </c>
      <c r="AT74" s="364" t="n">
        <f aca="false">IF(42&lt;5,0,IF(MAX(AO40:AT40)&gt;AT45+3+$B$18,1,0))</f>
        <v>0</v>
      </c>
      <c r="AU74" s="364" t="n">
        <f aca="false">IF(43&lt;5,0,IF(MAX(AP40:AU40)&gt;AU45+3+$B$18,1,0))</f>
        <v>0</v>
      </c>
      <c r="AV74" s="364" t="n">
        <f aca="false">IF(44&lt;5,0,IF(MAX(AQ40:AV40)&gt;AV45+3+$B$18,1,0))</f>
        <v>0</v>
      </c>
      <c r="AW74" s="364" t="n">
        <f aca="false">IF(45&lt;5,0,IF(MAX(AR40:AW40)&gt;AW45+3+$B$18,1,0))</f>
        <v>0</v>
      </c>
      <c r="AX74" s="364" t="n">
        <f aca="false">IF(46&lt;5,0,IF(MAX(AS40:AX40)&gt;AX45+3+$B$18,1,0))</f>
        <v>0</v>
      </c>
      <c r="AY74" s="364" t="n">
        <f aca="false">IF(47&lt;5,0,IF(MAX(AT40:AY40)&gt;AY45+3+$B$18,1,0))</f>
        <v>0</v>
      </c>
      <c r="AZ74" s="364" t="n">
        <f aca="false">IF(48&lt;5,0,IF(MAX(AU40:AZ40)&gt;AZ45+3+$B$18,1,0))</f>
        <v>0</v>
      </c>
      <c r="BA74" s="364" t="n">
        <f aca="false">IF(49&lt;5,0,IF(MAX(AV40:BA40)&gt;BA45+3+$B$18,1,0))</f>
        <v>0</v>
      </c>
      <c r="BB74" s="364" t="n">
        <f aca="false">IF(50&lt;5,0,IF(MAX(AW40:BB40)&gt;BB45+3+$B$18,1,0))</f>
        <v>0</v>
      </c>
      <c r="BC74" s="364" t="n">
        <f aca="false">IF(51&lt;5,0,IF(MAX(AX40:BC40)&gt;BC45+3+$B$18,1,0))</f>
        <v>0</v>
      </c>
      <c r="BD74" s="364" t="n">
        <f aca="false">IF(52&lt;5,0,IF(MAX(AY40:BD40)&gt;BD45+3+$B$18,1,0))</f>
        <v>0</v>
      </c>
      <c r="BE74" s="364" t="n">
        <f aca="false">IF(53&lt;5,0,IF(MAX(AZ40:BE40)&gt;BE45+3+$B$18,1,0))</f>
        <v>0</v>
      </c>
      <c r="BF74" s="364" t="n">
        <f aca="false">IF(54&lt;5,0,IF(MAX(BA40:BF40)&gt;BF45+3+$B$18,1,0))</f>
        <v>0</v>
      </c>
      <c r="BG74" s="364" t="n">
        <f aca="false">IF(55&lt;5,0,IF(MAX(BB40:BG40)&gt;BG45+3+$B$18,1,0))</f>
        <v>0</v>
      </c>
      <c r="BH74" s="364" t="n">
        <f aca="false">IF(56&lt;5,0,IF(MAX(BC40:BH40)&gt;BH45+3+$B$18,1,0))</f>
        <v>0</v>
      </c>
      <c r="BI74" s="364" t="n">
        <f aca="false">IF(57&lt;5,0,IF(MAX(BD40:BI40)&gt;BI45+3+$B$18,1,0))</f>
        <v>0</v>
      </c>
      <c r="BJ74" s="364" t="n">
        <f aca="false">IF(58&lt;5,0,IF(MAX(BE40:BJ40)&gt;BJ45+3+$B$18,1,0))</f>
        <v>0</v>
      </c>
      <c r="BK74" s="364" t="n">
        <f aca="false">IF(59&lt;5,0,IF(MAX(BF40:BK40)&gt;BK45+3+$B$18,1,0))</f>
        <v>0</v>
      </c>
      <c r="BL74" s="364" t="n">
        <f aca="false">IF(60&lt;5,0,IF(MAX(BG40:BL40)&gt;BL45+3+$B$18,1,0))</f>
        <v>0</v>
      </c>
      <c r="BM74" s="364" t="n">
        <f aca="false">IF(61&lt;5,0,IF(MAX(BH40:BM40)&gt;BM45+3+$B$18,1,0))</f>
        <v>0</v>
      </c>
      <c r="BN74" s="364" t="n">
        <f aca="false">IF(62&lt;5,0,IF(MAX(BI40:BN40)&gt;BN45+3+$B$18,1,0))</f>
        <v>0</v>
      </c>
      <c r="BO74" s="364" t="n">
        <f aca="false">IF(63&lt;5,0,IF(MAX(BJ40:BO40)&gt;BO45+3+$B$18,1,0))</f>
        <v>0</v>
      </c>
      <c r="BP74" s="364" t="n">
        <f aca="false">IF(64&lt;5,0,IF(MAX(BK40:BP40)&gt;BP45+3+$B$18,1,0))</f>
        <v>0</v>
      </c>
      <c r="BQ74" s="364" t="n">
        <f aca="false">IF(65&lt;5,0,IF(MAX(BL40:BQ40)&gt;BQ45+3+$B$18,1,0))</f>
        <v>0</v>
      </c>
      <c r="BR74" s="364" t="n">
        <f aca="false">IF(66&lt;5,0,IF(MAX(BM40:BR40)&gt;BR45+3+$B$18,1,0))</f>
        <v>0</v>
      </c>
      <c r="BS74" s="364" t="n">
        <f aca="false">IF(67&lt;5,0,IF(MAX(BN40:BS40)&gt;BS45+3+$B$18,1,0))</f>
        <v>0</v>
      </c>
      <c r="BT74" s="364" t="n">
        <f aca="false">IF(68&lt;5,0,IF(MAX(BO40:BT40)&gt;BT45+3+$B$18,1,0))</f>
        <v>0</v>
      </c>
      <c r="BU74" s="364" t="n">
        <f aca="false">IF(69&lt;5,0,IF(MAX(BP40:BU40)&gt;BU45+3+$B$18,1,0))</f>
        <v>0</v>
      </c>
      <c r="BV74" s="364" t="n">
        <f aca="false">IF(70&lt;5,0,IF(MAX(BQ40:BV40)&gt;BV45+3+$B$18,1,0))</f>
        <v>0</v>
      </c>
      <c r="BW74" s="364" t="n">
        <f aca="false">IF(71&lt;5,0,IF(MAX(BR40:BW40)&gt;BW45+3+$B$18,1,0))</f>
        <v>0</v>
      </c>
      <c r="BX74" s="364" t="n">
        <f aca="false">IF(72&lt;5,0,IF(MAX(BS40:BX40)&gt;BX45+3+$B$18,1,0))</f>
        <v>0</v>
      </c>
      <c r="BY74" s="364" t="n">
        <f aca="false">IF(73&lt;5,0,IF(MAX(BT40:BY40)&gt;BY45+3+$B$18,1,0))</f>
        <v>0</v>
      </c>
      <c r="BZ74" s="364" t="n">
        <f aca="false">IF(74&lt;5,0,IF(MAX(BU40:BZ40)&gt;BZ45+3+$B$18,1,0))</f>
        <v>0</v>
      </c>
      <c r="CA74" s="364" t="n">
        <f aca="false">IF(75&lt;5,0,IF(MAX(BV40:CA40)&gt;CA45+3+$B$18,1,0))</f>
        <v>0</v>
      </c>
      <c r="CB74" s="364" t="n">
        <f aca="false">IF(76&lt;5,0,IF(MAX(BW40:CB40)&gt;CB45+3+$B$18,1,0))</f>
        <v>0</v>
      </c>
      <c r="CC74" s="364" t="n">
        <f aca="false">IF(77&lt;5,0,IF(MAX(BX40:CC40)&gt;CC45+3+$B$18,1,0))</f>
        <v>0</v>
      </c>
      <c r="CD74" s="364" t="n">
        <f aca="false">IF(78&lt;5,0,IF(MAX(BY40:CD40)&gt;CD45+3+$B$18,1,0))</f>
        <v>0</v>
      </c>
      <c r="CE74" s="364" t="n">
        <f aca="false">IF(79&lt;5,0,IF(MAX(BZ40:CE40)&gt;CE45+3+$B$18,1,0))</f>
        <v>0</v>
      </c>
      <c r="CF74" s="364" t="n">
        <f aca="false">IF(80&lt;5,0,IF(MAX(CA40:CF40)&gt;CF45+3+$B$18,1,0))</f>
        <v>0</v>
      </c>
      <c r="CG74" s="364" t="n">
        <f aca="false">IF(81&lt;5,0,IF(MAX(CB40:CG40)&gt;CG45+3+$B$18,1,0))</f>
        <v>0</v>
      </c>
      <c r="CH74" s="364" t="n">
        <f aca="false">IF(82&lt;5,0,IF(MAX(CC40:CH40)&gt;CH45+3+$B$18,1,0))</f>
        <v>0</v>
      </c>
      <c r="CI74" s="364" t="n">
        <f aca="false">IF(83&lt;5,0,IF(MAX(CD40:CI40)&gt;CI45+3+$B$18,1,0))</f>
        <v>0</v>
      </c>
      <c r="CJ74" s="364" t="n">
        <f aca="false">IF(84&lt;5,0,IF(MAX(CE40:CJ40)&gt;CJ45+3+$B$18,1,0))</f>
        <v>0</v>
      </c>
      <c r="CK74" s="364" t="n">
        <f aca="false">IF(85&lt;5,0,IF(MAX(CF40:CK40)&gt;CK45+3+$B$18,1,0))</f>
        <v>0</v>
      </c>
      <c r="CL74" s="364" t="n">
        <f aca="false">IF(86&lt;5,0,IF(MAX(CG40:CL40)&gt;CL45+3+$B$18,1,0))</f>
        <v>0</v>
      </c>
      <c r="CM74" s="364" t="n">
        <f aca="false">IF(87&lt;5,0,IF(MAX(CH40:CM40)&gt;CM45+3+$B$18,1,0))</f>
        <v>0</v>
      </c>
      <c r="CN74" s="364" t="n">
        <f aca="false">IF(88&lt;5,0,IF(MAX(CI40:CN40)&gt;CN45+3+$B$18,1,0))</f>
        <v>0</v>
      </c>
      <c r="CO74" s="364" t="n">
        <f aca="false">IF(89&lt;5,0,IF(MAX(CJ40:CO40)&gt;CO45+3+$B$18,1,0))</f>
        <v>0</v>
      </c>
      <c r="CP74" s="364" t="n">
        <f aca="false">IF(90&lt;5,0,IF(MAX(CK40:CP40)&gt;CP45+3+$B$18,1,0))</f>
        <v>0</v>
      </c>
      <c r="CQ74" s="364" t="n">
        <f aca="false">IF(91&lt;5,0,IF(MAX(CL40:CQ40)&gt;CQ45+3+$B$18,1,0))</f>
        <v>0</v>
      </c>
      <c r="CR74" s="364" t="n">
        <f aca="false">IF(92&lt;5,0,IF(MAX(CM40:CR40)&gt;CR45+3+$B$18,1,0))</f>
        <v>0</v>
      </c>
      <c r="CS74" s="364" t="n">
        <f aca="false">IF(93&lt;5,0,IF(MAX(CN40:CS40)&gt;CS45+3+$B$18,1,0))</f>
        <v>0</v>
      </c>
      <c r="CT74" s="364" t="n">
        <f aca="false">IF(94&lt;5,0,IF(MAX(CO40:CT40)&gt;CT45+3+$B$18,1,0))</f>
        <v>0</v>
      </c>
      <c r="CU74" s="364" t="n">
        <f aca="false">IF(95&lt;5,0,IF(MAX(CP40:CU40)&gt;CU45+3+$B$18,1,0))</f>
        <v>0</v>
      </c>
      <c r="CV74" s="364" t="n">
        <f aca="false">IF(96&lt;5,0,IF(MAX(CQ40:CV40)&gt;CV45+3+$B$18,1,0))</f>
        <v>0</v>
      </c>
      <c r="CW74" s="364" t="n">
        <f aca="false">IF(97&lt;5,0,IF(MAX(CR40:CW40)&gt;CW45+3+$B$18,1,0))</f>
        <v>0</v>
      </c>
      <c r="CX74" s="364" t="n">
        <f aca="false">IF(98&lt;5,0,IF(MAX(CS40:CX40)&gt;CX45+3+$B$18,1,0))</f>
        <v>0</v>
      </c>
      <c r="CY74" s="364" t="n">
        <f aca="false">IF(99&lt;5,0,IF(MAX(CT40:CY40)&gt;CY45+3+$B$18,1,0))</f>
        <v>0</v>
      </c>
      <c r="CZ74" s="364" t="n">
        <f aca="false">IF(100&lt;5,0,IF(MAX(CU40:CZ40)&gt;CZ45+3+$B$18,1,0))</f>
        <v>0</v>
      </c>
      <c r="DA74" s="364" t="n">
        <f aca="false">IF(101&lt;5,0,IF(MAX(CV40:DA40)&gt;DA45+3+$B$18,1,0))</f>
        <v>0</v>
      </c>
      <c r="DB74" s="364" t="n">
        <f aca="false">IF(102&lt;5,0,IF(MAX(CW40:DB40)&gt;DB45+3+$B$18,1,0))</f>
        <v>0</v>
      </c>
      <c r="DC74" s="364" t="n">
        <f aca="false">IF(103&lt;5,0,IF(MAX(CX40:DC40)&gt;DC45+3+$B$18,1,0))</f>
        <v>0</v>
      </c>
      <c r="DD74" s="364" t="n">
        <f aca="false">IF(104&lt;5,0,IF(MAX(CY40:DD40)&gt;DD45+3+$B$18,1,0))</f>
        <v>0</v>
      </c>
      <c r="DE74" s="364"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1239</v>
      </c>
      <c r="B77" s="223" t="n">
        <f aca="false">$B$30</f>
        <v>80000</v>
      </c>
      <c r="E77" s="364" t="n">
        <f aca="false">IF(1&lt;5,0,IF(MAX(E37)&gt;=$B$22,1,0))</f>
        <v>0</v>
      </c>
      <c r="F77" s="364" t="n">
        <f aca="false">IF(2&lt;5,0,IF(MAX(E37:F37)&gt;=$B$22,1,0))</f>
        <v>0</v>
      </c>
      <c r="G77" s="364" t="n">
        <f aca="false">IF(3&lt;5,0,IF(MAX(E37:G37)&gt;=$B$22,1,0))</f>
        <v>0</v>
      </c>
      <c r="H77" s="364" t="n">
        <f aca="false">IF(4&lt;5,0,IF(MAX(E37:H37)&gt;=$B$22,1,0))</f>
        <v>0</v>
      </c>
      <c r="I77" s="364" t="n">
        <f aca="false">IF(5&lt;5,0,IF(MAX(E37:I37)&gt;=$B$22,1,0))</f>
        <v>0</v>
      </c>
      <c r="J77" s="364" t="n">
        <f aca="false">IF(6&lt;5,0,IF(MAX(E37:J37)&gt;=$B$22,1,0))</f>
        <v>0</v>
      </c>
      <c r="K77" s="364" t="n">
        <f aca="false">IF(7&lt;5,0,IF(MAX(F37:K37)&gt;=$B$22,1,0))</f>
        <v>0</v>
      </c>
      <c r="L77" s="364" t="n">
        <f aca="false">IF(8&lt;5,0,IF(MAX(G37:L37)&gt;=$B$22,1,0))</f>
        <v>0</v>
      </c>
      <c r="M77" s="364" t="n">
        <f aca="false">IF(9&lt;5,0,IF(MAX(H37:M37)&gt;=$B$22,1,0))</f>
        <v>0</v>
      </c>
      <c r="N77" s="364" t="n">
        <f aca="false">IF(10&lt;5,0,IF(MAX(I37:N37)&gt;=$B$22,1,0))</f>
        <v>0</v>
      </c>
      <c r="O77" s="364" t="n">
        <f aca="false">IF(11&lt;5,0,IF(MAX(J37:O37)&gt;=$B$22,1,0))</f>
        <v>0</v>
      </c>
      <c r="P77" s="364" t="n">
        <f aca="false">IF(12&lt;5,0,IF(MAX(K37:P37)&gt;=$B$22,1,0))</f>
        <v>0</v>
      </c>
      <c r="Q77" s="364" t="n">
        <f aca="false">IF(13&lt;5,0,IF(MAX(L37:Q37)&gt;=$B$22,1,0))</f>
        <v>0</v>
      </c>
      <c r="R77" s="364" t="n">
        <f aca="false">IF(14&lt;5,0,IF(MAX(M37:R37)&gt;=$B$22,1,0))</f>
        <v>0</v>
      </c>
      <c r="S77" s="364" t="n">
        <f aca="false">IF(15&lt;5,0,IF(MAX(N37:S37)&gt;=$B$22,1,0))</f>
        <v>0</v>
      </c>
      <c r="T77" s="364" t="n">
        <f aca="false">IF(16&lt;5,0,IF(MAX(O37:T37)&gt;=$B$22,1,0))</f>
        <v>0</v>
      </c>
      <c r="U77" s="364" t="n">
        <f aca="false">IF(17&lt;5,0,IF(MAX(P37:U37)&gt;=$B$22,1,0))</f>
        <v>0</v>
      </c>
      <c r="V77" s="364" t="n">
        <f aca="false">IF(18&lt;5,0,IF(MAX(Q37:V37)&gt;=$B$22,1,0))</f>
        <v>0</v>
      </c>
      <c r="W77" s="364" t="n">
        <f aca="false">IF(19&lt;5,0,IF(MAX(R37:W37)&gt;=$B$22,1,0))</f>
        <v>0</v>
      </c>
      <c r="X77" s="364" t="n">
        <f aca="false">IF(20&lt;5,0,IF(MAX(S37:X37)&gt;=$B$22,1,0))</f>
        <v>0</v>
      </c>
      <c r="Y77" s="364" t="n">
        <f aca="false">IF(21&lt;5,0,IF(MAX(T37:Y37)&gt;=$B$22,1,0))</f>
        <v>0</v>
      </c>
      <c r="Z77" s="364" t="n">
        <f aca="false">IF(22&lt;5,0,IF(MAX(U37:Z37)&gt;=$B$22,1,0))</f>
        <v>0</v>
      </c>
      <c r="AA77" s="364" t="n">
        <f aca="false">IF(23&lt;5,0,IF(MAX(V37:AA37)&gt;=$B$22,1,0))</f>
        <v>0</v>
      </c>
      <c r="AB77" s="364" t="n">
        <f aca="false">IF(24&lt;5,0,IF(MAX(W37:AB37)&gt;=$B$22,1,0))</f>
        <v>0</v>
      </c>
      <c r="AC77" s="364" t="n">
        <f aca="false">IF(25&lt;5,0,IF(MAX(X37:AC37)&gt;=$B$22,1,0))</f>
        <v>0</v>
      </c>
      <c r="AD77" s="364" t="n">
        <f aca="false">IF(26&lt;5,0,IF(MAX(Y37:AD37)&gt;=$B$22,1,0))</f>
        <v>0</v>
      </c>
      <c r="AE77" s="364" t="n">
        <f aca="false">IF(27&lt;5,0,IF(MAX(Z37:AE37)&gt;=$B$22,1,0))</f>
        <v>0</v>
      </c>
      <c r="AF77" s="364" t="n">
        <f aca="false">IF(28&lt;5,0,IF(MAX(AA37:AF37)&gt;=$B$22,1,0))</f>
        <v>0</v>
      </c>
      <c r="AG77" s="364" t="n">
        <f aca="false">IF(29&lt;5,0,IF(MAX(AB37:AG37)&gt;=$B$22,1,0))</f>
        <v>0</v>
      </c>
      <c r="AH77" s="364" t="n">
        <f aca="false">IF(30&lt;5,0,IF(MAX(AC37:AH37)&gt;=$B$22,1,0))</f>
        <v>0</v>
      </c>
      <c r="AI77" s="364" t="n">
        <f aca="false">IF(31&lt;5,0,IF(MAX(AD37:AI37)&gt;=$B$22,1,0))</f>
        <v>0</v>
      </c>
      <c r="AJ77" s="364" t="n">
        <f aca="false">IF(32&lt;5,0,IF(MAX(AE37:AJ37)&gt;=$B$22,1,0))</f>
        <v>0</v>
      </c>
      <c r="AK77" s="364" t="n">
        <f aca="false">IF(33&lt;5,0,IF(MAX(AF37:AK37)&gt;=$B$22,1,0))</f>
        <v>0</v>
      </c>
      <c r="AL77" s="364" t="n">
        <f aca="false">IF(34&lt;5,0,IF(MAX(AG37:AL37)&gt;=$B$22,1,0))</f>
        <v>0</v>
      </c>
      <c r="AM77" s="364" t="n">
        <f aca="false">IF(35&lt;5,0,IF(MAX(AH37:AM37)&gt;=$B$22,1,0))</f>
        <v>0</v>
      </c>
      <c r="AN77" s="364" t="n">
        <f aca="false">IF(36&lt;5,0,IF(MAX(AI37:AN37)&gt;=$B$22,1,0))</f>
        <v>0</v>
      </c>
      <c r="AO77" s="364" t="n">
        <f aca="false">IF(37&lt;5,0,IF(MAX(AJ37:AO37)&gt;=$B$22,1,0))</f>
        <v>0</v>
      </c>
      <c r="AP77" s="364" t="n">
        <f aca="false">IF(38&lt;5,0,IF(MAX(AK37:AP37)&gt;=$B$22,1,0))</f>
        <v>0</v>
      </c>
      <c r="AQ77" s="364" t="n">
        <f aca="false">IF(39&lt;5,0,IF(MAX(AL37:AQ37)&gt;=$B$22,1,0))</f>
        <v>0</v>
      </c>
      <c r="AR77" s="364" t="n">
        <f aca="false">IF(40&lt;5,0,IF(MAX(AM37:AR37)&gt;=$B$22,1,0))</f>
        <v>0</v>
      </c>
      <c r="AS77" s="364" t="n">
        <f aca="false">IF(41&lt;5,0,IF(MAX(AN37:AS37)&gt;=$B$22,1,0))</f>
        <v>0</v>
      </c>
      <c r="AT77" s="364" t="n">
        <f aca="false">IF(42&lt;5,0,IF(MAX(AO37:AT37)&gt;=$B$22,1,0))</f>
        <v>0</v>
      </c>
      <c r="AU77" s="364" t="n">
        <f aca="false">IF(43&lt;5,0,IF(MAX(AP37:AU37)&gt;=$B$22,1,0))</f>
        <v>0</v>
      </c>
      <c r="AV77" s="364" t="n">
        <f aca="false">IF(44&lt;5,0,IF(MAX(AQ37:AV37)&gt;=$B$22,1,0))</f>
        <v>0</v>
      </c>
      <c r="AW77" s="364" t="n">
        <f aca="false">IF(45&lt;5,0,IF(MAX(AR37:AW37)&gt;=$B$22,1,0))</f>
        <v>0</v>
      </c>
      <c r="AX77" s="364" t="n">
        <f aca="false">IF(46&lt;5,0,IF(MAX(AS37:AX37)&gt;=$B$22,1,0))</f>
        <v>0</v>
      </c>
      <c r="AY77" s="364" t="n">
        <f aca="false">IF(47&lt;5,0,IF(MAX(AT37:AY37)&gt;=$B$22,1,0))</f>
        <v>0</v>
      </c>
      <c r="AZ77" s="364" t="n">
        <f aca="false">IF(48&lt;5,0,IF(MAX(AU37:AZ37)&gt;=$B$22,1,0))</f>
        <v>0</v>
      </c>
      <c r="BA77" s="364" t="n">
        <f aca="false">IF(49&lt;5,0,IF(MAX(AV37:BA37)&gt;=$B$22,1,0))</f>
        <v>0</v>
      </c>
      <c r="BB77" s="364" t="n">
        <f aca="false">IF(50&lt;5,0,IF(MAX(AW37:BB37)&gt;=$B$22,1,0))</f>
        <v>0</v>
      </c>
      <c r="BC77" s="364" t="n">
        <f aca="false">IF(51&lt;5,0,IF(MAX(AX37:BC37)&gt;=$B$22,1,0))</f>
        <v>0</v>
      </c>
      <c r="BD77" s="364" t="n">
        <f aca="false">IF(52&lt;5,0,IF(MAX(AY37:BD37)&gt;=$B$22,1,0))</f>
        <v>0</v>
      </c>
      <c r="BE77" s="364" t="n">
        <f aca="false">IF(53&lt;5,0,IF(MAX(AZ37:BE37)&gt;=$B$22,1,0))</f>
        <v>0</v>
      </c>
      <c r="BF77" s="364" t="n">
        <f aca="false">IF(54&lt;5,0,IF(MAX(BA37:BF37)&gt;=$B$22,1,0))</f>
        <v>0</v>
      </c>
      <c r="BG77" s="364" t="n">
        <f aca="false">IF(55&lt;5,0,IF(MAX(BB37:BG37)&gt;=$B$22,1,0))</f>
        <v>0</v>
      </c>
      <c r="BH77" s="364" t="n">
        <f aca="false">IF(56&lt;5,0,IF(MAX(BC37:BH37)&gt;=$B$22,1,0))</f>
        <v>0</v>
      </c>
      <c r="BI77" s="364" t="n">
        <f aca="false">IF(57&lt;5,0,IF(MAX(BD37:BI37)&gt;=$B$22,1,0))</f>
        <v>0</v>
      </c>
      <c r="BJ77" s="364" t="n">
        <f aca="false">IF(58&lt;5,0,IF(MAX(BE37:BJ37)&gt;=$B$22,1,0))</f>
        <v>0</v>
      </c>
      <c r="BK77" s="364" t="n">
        <f aca="false">IF(59&lt;5,0,IF(MAX(BF37:BK37)&gt;=$B$22,1,0))</f>
        <v>0</v>
      </c>
      <c r="BL77" s="364" t="n">
        <f aca="false">IF(60&lt;5,0,IF(MAX(BG37:BL37)&gt;=$B$22,1,0))</f>
        <v>0</v>
      </c>
      <c r="BM77" s="364" t="n">
        <f aca="false">IF(61&lt;5,0,IF(MAX(BH37:BM37)&gt;=$B$22,1,0))</f>
        <v>0</v>
      </c>
      <c r="BN77" s="364" t="n">
        <f aca="false">IF(62&lt;5,0,IF(MAX(BI37:BN37)&gt;=$B$22,1,0))</f>
        <v>0</v>
      </c>
      <c r="BO77" s="364" t="n">
        <f aca="false">IF(63&lt;5,0,IF(MAX(BJ37:BO37)&gt;=$B$22,1,0))</f>
        <v>0</v>
      </c>
      <c r="BP77" s="364" t="n">
        <f aca="false">IF(64&lt;5,0,IF(MAX(BK37:BP37)&gt;=$B$22,1,0))</f>
        <v>0</v>
      </c>
      <c r="BQ77" s="364" t="n">
        <f aca="false">IF(65&lt;5,0,IF(MAX(BL37:BQ37)&gt;=$B$22,1,0))</f>
        <v>0</v>
      </c>
      <c r="BR77" s="364" t="n">
        <f aca="false">IF(66&lt;5,0,IF(MAX(BM37:BR37)&gt;=$B$22,1,0))</f>
        <v>0</v>
      </c>
      <c r="BS77" s="364" t="n">
        <f aca="false">IF(67&lt;5,0,IF(MAX(BN37:BS37)&gt;=$B$22,1,0))</f>
        <v>0</v>
      </c>
      <c r="BT77" s="364" t="n">
        <f aca="false">IF(68&lt;5,0,IF(MAX(BO37:BT37)&gt;=$B$22,1,0))</f>
        <v>0</v>
      </c>
      <c r="BU77" s="364" t="n">
        <f aca="false">IF(69&lt;5,0,IF(MAX(BP37:BU37)&gt;=$B$22,1,0))</f>
        <v>0</v>
      </c>
      <c r="BV77" s="364" t="n">
        <f aca="false">IF(70&lt;5,0,IF(MAX(BQ37:BV37)&gt;=$B$22,1,0))</f>
        <v>0</v>
      </c>
      <c r="BW77" s="364" t="n">
        <f aca="false">IF(71&lt;5,0,IF(MAX(BR37:BW37)&gt;=$B$22,1,0))</f>
        <v>0</v>
      </c>
      <c r="BX77" s="364" t="n">
        <f aca="false">IF(72&lt;5,0,IF(MAX(BS37:BX37)&gt;=$B$22,1,0))</f>
        <v>0</v>
      </c>
      <c r="BY77" s="364" t="n">
        <f aca="false">IF(73&lt;5,0,IF(MAX(BT37:BY37)&gt;=$B$22,1,0))</f>
        <v>0</v>
      </c>
      <c r="BZ77" s="364" t="n">
        <f aca="false">IF(74&lt;5,0,IF(MAX(BU37:BZ37)&gt;=$B$22,1,0))</f>
        <v>0</v>
      </c>
      <c r="CA77" s="364" t="n">
        <f aca="false">IF(75&lt;5,0,IF(MAX(BV37:CA37)&gt;=$B$22,1,0))</f>
        <v>0</v>
      </c>
      <c r="CB77" s="364" t="n">
        <f aca="false">IF(76&lt;5,0,IF(MAX(BW37:CB37)&gt;=$B$22,1,0))</f>
        <v>0</v>
      </c>
      <c r="CC77" s="364" t="n">
        <f aca="false">IF(77&lt;5,0,IF(MAX(BX37:CC37)&gt;=$B$22,1,0))</f>
        <v>0</v>
      </c>
      <c r="CD77" s="364" t="n">
        <f aca="false">IF(78&lt;5,0,IF(MAX(BY37:CD37)&gt;=$B$22,1,0))</f>
        <v>0</v>
      </c>
      <c r="CE77" s="364" t="n">
        <f aca="false">IF(79&lt;5,0,IF(MAX(BZ37:CE37)&gt;=$B$22,1,0))</f>
        <v>0</v>
      </c>
      <c r="CF77" s="364" t="n">
        <f aca="false">IF(80&lt;5,0,IF(MAX(CA37:CF37)&gt;=$B$22,1,0))</f>
        <v>0</v>
      </c>
      <c r="CG77" s="364" t="n">
        <f aca="false">IF(81&lt;5,0,IF(MAX(CB37:CG37)&gt;=$B$22,1,0))</f>
        <v>0</v>
      </c>
      <c r="CH77" s="364" t="n">
        <f aca="false">IF(82&lt;5,0,IF(MAX(CC37:CH37)&gt;=$B$22,1,0))</f>
        <v>0</v>
      </c>
      <c r="CI77" s="364" t="n">
        <f aca="false">IF(83&lt;5,0,IF(MAX(CD37:CI37)&gt;=$B$22,1,0))</f>
        <v>0</v>
      </c>
      <c r="CJ77" s="364" t="n">
        <f aca="false">IF(84&lt;5,0,IF(MAX(CE37:CJ37)&gt;=$B$22,1,0))</f>
        <v>0</v>
      </c>
      <c r="CK77" s="364" t="n">
        <f aca="false">IF(85&lt;5,0,IF(MAX(CF37:CK37)&gt;=$B$22,1,0))</f>
        <v>0</v>
      </c>
      <c r="CL77" s="364" t="n">
        <f aca="false">IF(86&lt;5,0,IF(MAX(CG37:CL37)&gt;=$B$22,1,0))</f>
        <v>0</v>
      </c>
      <c r="CM77" s="364" t="n">
        <f aca="false">IF(87&lt;5,0,IF(MAX(CH37:CM37)&gt;=$B$22,1,0))</f>
        <v>0</v>
      </c>
      <c r="CN77" s="364" t="n">
        <f aca="false">IF(88&lt;5,0,IF(MAX(CI37:CN37)&gt;=$B$22,1,0))</f>
        <v>0</v>
      </c>
      <c r="CO77" s="364" t="n">
        <f aca="false">IF(89&lt;5,0,IF(MAX(CJ37:CO37)&gt;=$B$22,1,0))</f>
        <v>0</v>
      </c>
      <c r="CP77" s="364" t="n">
        <f aca="false">IF(90&lt;5,0,IF(MAX(CK37:CP37)&gt;=$B$22,1,0))</f>
        <v>0</v>
      </c>
      <c r="CQ77" s="364" t="n">
        <f aca="false">IF(91&lt;5,0,IF(MAX(CL37:CQ37)&gt;=$B$22,1,0))</f>
        <v>0</v>
      </c>
      <c r="CR77" s="364" t="n">
        <f aca="false">IF(92&lt;5,0,IF(MAX(CM37:CR37)&gt;=$B$22,1,0))</f>
        <v>0</v>
      </c>
      <c r="CS77" s="364" t="n">
        <f aca="false">IF(93&lt;5,0,IF(MAX(CN37:CS37)&gt;=$B$22,1,0))</f>
        <v>0</v>
      </c>
      <c r="CT77" s="364" t="n">
        <f aca="false">IF(94&lt;5,0,IF(MAX(CO37:CT37)&gt;=$B$22,1,0))</f>
        <v>0</v>
      </c>
      <c r="CU77" s="364" t="n">
        <f aca="false">IF(95&lt;5,0,IF(MAX(CP37:CU37)&gt;=$B$22,1,0))</f>
        <v>0</v>
      </c>
      <c r="CV77" s="364" t="n">
        <f aca="false">IF(96&lt;5,0,IF(MAX(CQ37:CV37)&gt;=$B$22,1,0))</f>
        <v>0</v>
      </c>
      <c r="CW77" s="364" t="n">
        <f aca="false">IF(97&lt;5,0,IF(MAX(CR37:CW37)&gt;=$B$22,1,0))</f>
        <v>0</v>
      </c>
      <c r="CX77" s="364" t="n">
        <f aca="false">IF(98&lt;5,0,IF(MAX(CS37:CX37)&gt;=$B$22,1,0))</f>
        <v>0</v>
      </c>
      <c r="CY77" s="364" t="n">
        <f aca="false">IF(99&lt;5,0,IF(MAX(CT37:CY37)&gt;=$B$22,1,0))</f>
        <v>0</v>
      </c>
      <c r="CZ77" s="364" t="n">
        <f aca="false">IF(100&lt;5,0,IF(MAX(CU37:CZ37)&gt;=$B$22,1,0))</f>
        <v>0</v>
      </c>
      <c r="DA77" s="364" t="n">
        <f aca="false">IF(101&lt;5,0,IF(MAX(CV37:DA37)&gt;=$B$22,1,0))</f>
        <v>0</v>
      </c>
      <c r="DB77" s="364" t="n">
        <f aca="false">IF(102&lt;5,0,IF(MAX(CW37:DB37)&gt;=$B$22,1,0))</f>
        <v>0</v>
      </c>
      <c r="DC77" s="364" t="n">
        <f aca="false">IF(103&lt;5,0,IF(MAX(CX37:DC37)&gt;=$B$22,1,0))</f>
        <v>0</v>
      </c>
      <c r="DD77" s="364" t="n">
        <f aca="false">IF(104&lt;5,0,IF(MAX(CY37:DD37)&gt;=$B$22,1,0))</f>
        <v>0</v>
      </c>
      <c r="DE77" s="364" t="n">
        <f aca="false">IF(105&lt;5,0,IF(MAX(CZ37:DE37)&gt;=$B$22,1,0))</f>
        <v>0</v>
      </c>
    </row>
    <row r="78" customFormat="false" ht="13.5" hidden="false" customHeight="true" outlineLevel="0" collapsed="false">
      <c r="A78" s="109" t="s">
        <v>1240</v>
      </c>
      <c r="B78" s="223" t="n">
        <f aca="false">$B$30</f>
        <v>80000</v>
      </c>
      <c r="E78" s="364" t="n">
        <f aca="false">IF(1&lt;5,0,IF(MAX(E37)&gt;=$B$23,1,0))</f>
        <v>0</v>
      </c>
      <c r="F78" s="364" t="n">
        <f aca="false">IF(2&lt;5,0,IF(MAX(E37:F37)&gt;=$B$23,1,0))</f>
        <v>0</v>
      </c>
      <c r="G78" s="364" t="n">
        <f aca="false">IF(3&lt;5,0,IF(MAX(E37:G37)&gt;=$B$23,1,0))</f>
        <v>0</v>
      </c>
      <c r="H78" s="364" t="n">
        <f aca="false">IF(4&lt;5,0,IF(MAX(E37:H37)&gt;=$B$23,1,0))</f>
        <v>0</v>
      </c>
      <c r="I78" s="364" t="n">
        <f aca="false">IF(5&lt;5,0,IF(MAX(E37:I37)&gt;=$B$23,1,0))</f>
        <v>0</v>
      </c>
      <c r="J78" s="364" t="n">
        <f aca="false">IF(6&lt;5,0,IF(MAX(E37:J37)&gt;=$B$23,1,0))</f>
        <v>0</v>
      </c>
      <c r="K78" s="364" t="n">
        <f aca="false">IF(7&lt;5,0,IF(MAX(F37:K37)&gt;=$B$23,1,0))</f>
        <v>0</v>
      </c>
      <c r="L78" s="364" t="n">
        <f aca="false">IF(8&lt;5,0,IF(MAX(G37:L37)&gt;=$B$23,1,0))</f>
        <v>0</v>
      </c>
      <c r="M78" s="364" t="n">
        <f aca="false">IF(9&lt;5,0,IF(MAX(H37:M37)&gt;=$B$23,1,0))</f>
        <v>0</v>
      </c>
      <c r="N78" s="364" t="n">
        <f aca="false">IF(10&lt;5,0,IF(MAX(I37:N37)&gt;=$B$23,1,0))</f>
        <v>0</v>
      </c>
      <c r="O78" s="364" t="n">
        <f aca="false">IF(11&lt;5,0,IF(MAX(J37:O37)&gt;=$B$23,1,0))</f>
        <v>0</v>
      </c>
      <c r="P78" s="364" t="n">
        <f aca="false">IF(12&lt;5,0,IF(MAX(K37:P37)&gt;=$B$23,1,0))</f>
        <v>0</v>
      </c>
      <c r="Q78" s="364" t="n">
        <f aca="false">IF(13&lt;5,0,IF(MAX(L37:Q37)&gt;=$B$23,1,0))</f>
        <v>0</v>
      </c>
      <c r="R78" s="364" t="n">
        <f aca="false">IF(14&lt;5,0,IF(MAX(M37:R37)&gt;=$B$23,1,0))</f>
        <v>0</v>
      </c>
      <c r="S78" s="364" t="n">
        <f aca="false">IF(15&lt;5,0,IF(MAX(N37:S37)&gt;=$B$23,1,0))</f>
        <v>0</v>
      </c>
      <c r="T78" s="364" t="n">
        <f aca="false">IF(16&lt;5,0,IF(MAX(O37:T37)&gt;=$B$23,1,0))</f>
        <v>0</v>
      </c>
      <c r="U78" s="364" t="n">
        <f aca="false">IF(17&lt;5,0,IF(MAX(P37:U37)&gt;=$B$23,1,0))</f>
        <v>0</v>
      </c>
      <c r="V78" s="364" t="n">
        <f aca="false">IF(18&lt;5,0,IF(MAX(Q37:V37)&gt;=$B$23,1,0))</f>
        <v>0</v>
      </c>
      <c r="W78" s="364" t="n">
        <f aca="false">IF(19&lt;5,0,IF(MAX(R37:W37)&gt;=$B$23,1,0))</f>
        <v>0</v>
      </c>
      <c r="X78" s="364" t="n">
        <f aca="false">IF(20&lt;5,0,IF(MAX(S37:X37)&gt;=$B$23,1,0))</f>
        <v>0</v>
      </c>
      <c r="Y78" s="364" t="n">
        <f aca="false">IF(21&lt;5,0,IF(MAX(T37:Y37)&gt;=$B$23,1,0))</f>
        <v>0</v>
      </c>
      <c r="Z78" s="364" t="n">
        <f aca="false">IF(22&lt;5,0,IF(MAX(U37:Z37)&gt;=$B$23,1,0))</f>
        <v>0</v>
      </c>
      <c r="AA78" s="364" t="n">
        <f aca="false">IF(23&lt;5,0,IF(MAX(V37:AA37)&gt;=$B$23,1,0))</f>
        <v>0</v>
      </c>
      <c r="AB78" s="364" t="n">
        <f aca="false">IF(24&lt;5,0,IF(MAX(W37:AB37)&gt;=$B$23,1,0))</f>
        <v>0</v>
      </c>
      <c r="AC78" s="364" t="n">
        <f aca="false">IF(25&lt;5,0,IF(MAX(X37:AC37)&gt;=$B$23,1,0))</f>
        <v>0</v>
      </c>
      <c r="AD78" s="364" t="n">
        <f aca="false">IF(26&lt;5,0,IF(MAX(Y37:AD37)&gt;=$B$23,1,0))</f>
        <v>0</v>
      </c>
      <c r="AE78" s="364" t="n">
        <f aca="false">IF(27&lt;5,0,IF(MAX(Z37:AE37)&gt;=$B$23,1,0))</f>
        <v>0</v>
      </c>
      <c r="AF78" s="364" t="n">
        <f aca="false">IF(28&lt;5,0,IF(MAX(AA37:AF37)&gt;=$B$23,1,0))</f>
        <v>0</v>
      </c>
      <c r="AG78" s="364" t="n">
        <f aca="false">IF(29&lt;5,0,IF(MAX(AB37:AG37)&gt;=$B$23,1,0))</f>
        <v>0</v>
      </c>
      <c r="AH78" s="364" t="n">
        <f aca="false">IF(30&lt;5,0,IF(MAX(AC37:AH37)&gt;=$B$23,1,0))</f>
        <v>0</v>
      </c>
      <c r="AI78" s="364" t="n">
        <f aca="false">IF(31&lt;5,0,IF(MAX(AD37:AI37)&gt;=$B$23,1,0))</f>
        <v>0</v>
      </c>
      <c r="AJ78" s="364" t="n">
        <f aca="false">IF(32&lt;5,0,IF(MAX(AE37:AJ37)&gt;=$B$23,1,0))</f>
        <v>0</v>
      </c>
      <c r="AK78" s="364" t="n">
        <f aca="false">IF(33&lt;5,0,IF(MAX(AF37:AK37)&gt;=$B$23,1,0))</f>
        <v>0</v>
      </c>
      <c r="AL78" s="364" t="n">
        <f aca="false">IF(34&lt;5,0,IF(MAX(AG37:AL37)&gt;=$B$23,1,0))</f>
        <v>0</v>
      </c>
      <c r="AM78" s="364" t="n">
        <f aca="false">IF(35&lt;5,0,IF(MAX(AH37:AM37)&gt;=$B$23,1,0))</f>
        <v>0</v>
      </c>
      <c r="AN78" s="364" t="n">
        <f aca="false">IF(36&lt;5,0,IF(MAX(AI37:AN37)&gt;=$B$23,1,0))</f>
        <v>0</v>
      </c>
      <c r="AO78" s="364" t="n">
        <f aca="false">IF(37&lt;5,0,IF(MAX(AJ37:AO37)&gt;=$B$23,1,0))</f>
        <v>0</v>
      </c>
      <c r="AP78" s="364" t="n">
        <f aca="false">IF(38&lt;5,0,IF(MAX(AK37:AP37)&gt;=$B$23,1,0))</f>
        <v>0</v>
      </c>
      <c r="AQ78" s="364" t="n">
        <f aca="false">IF(39&lt;5,0,IF(MAX(AL37:AQ37)&gt;=$B$23,1,0))</f>
        <v>0</v>
      </c>
      <c r="AR78" s="364" t="n">
        <f aca="false">IF(40&lt;5,0,IF(MAX(AM37:AR37)&gt;=$B$23,1,0))</f>
        <v>0</v>
      </c>
      <c r="AS78" s="364" t="n">
        <f aca="false">IF(41&lt;5,0,IF(MAX(AN37:AS37)&gt;=$B$23,1,0))</f>
        <v>0</v>
      </c>
      <c r="AT78" s="364" t="n">
        <f aca="false">IF(42&lt;5,0,IF(MAX(AO37:AT37)&gt;=$B$23,1,0))</f>
        <v>0</v>
      </c>
      <c r="AU78" s="364" t="n">
        <f aca="false">IF(43&lt;5,0,IF(MAX(AP37:AU37)&gt;=$B$23,1,0))</f>
        <v>0</v>
      </c>
      <c r="AV78" s="364" t="n">
        <f aca="false">IF(44&lt;5,0,IF(MAX(AQ37:AV37)&gt;=$B$23,1,0))</f>
        <v>0</v>
      </c>
      <c r="AW78" s="364" t="n">
        <f aca="false">IF(45&lt;5,0,IF(MAX(AR37:AW37)&gt;=$B$23,1,0))</f>
        <v>0</v>
      </c>
      <c r="AX78" s="364" t="n">
        <f aca="false">IF(46&lt;5,0,IF(MAX(AS37:AX37)&gt;=$B$23,1,0))</f>
        <v>0</v>
      </c>
      <c r="AY78" s="364" t="n">
        <f aca="false">IF(47&lt;5,0,IF(MAX(AT37:AY37)&gt;=$B$23,1,0))</f>
        <v>0</v>
      </c>
      <c r="AZ78" s="364" t="n">
        <f aca="false">IF(48&lt;5,0,IF(MAX(AU37:AZ37)&gt;=$B$23,1,0))</f>
        <v>0</v>
      </c>
      <c r="BA78" s="364" t="n">
        <f aca="false">IF(49&lt;5,0,IF(MAX(AV37:BA37)&gt;=$B$23,1,0))</f>
        <v>0</v>
      </c>
      <c r="BB78" s="364" t="n">
        <f aca="false">IF(50&lt;5,0,IF(MAX(AW37:BB37)&gt;=$B$23,1,0))</f>
        <v>0</v>
      </c>
      <c r="BC78" s="364" t="n">
        <f aca="false">IF(51&lt;5,0,IF(MAX(AX37:BC37)&gt;=$B$23,1,0))</f>
        <v>0</v>
      </c>
      <c r="BD78" s="364" t="n">
        <f aca="false">IF(52&lt;5,0,IF(MAX(AY37:BD37)&gt;=$B$23,1,0))</f>
        <v>0</v>
      </c>
      <c r="BE78" s="364" t="n">
        <f aca="false">IF(53&lt;5,0,IF(MAX(AZ37:BE37)&gt;=$B$23,1,0))</f>
        <v>0</v>
      </c>
      <c r="BF78" s="364" t="n">
        <f aca="false">IF(54&lt;5,0,IF(MAX(BA37:BF37)&gt;=$B$23,1,0))</f>
        <v>0</v>
      </c>
      <c r="BG78" s="364" t="n">
        <f aca="false">IF(55&lt;5,0,IF(MAX(BB37:BG37)&gt;=$B$23,1,0))</f>
        <v>0</v>
      </c>
      <c r="BH78" s="364" t="n">
        <f aca="false">IF(56&lt;5,0,IF(MAX(BC37:BH37)&gt;=$B$23,1,0))</f>
        <v>0</v>
      </c>
      <c r="BI78" s="364" t="n">
        <f aca="false">IF(57&lt;5,0,IF(MAX(BD37:BI37)&gt;=$B$23,1,0))</f>
        <v>0</v>
      </c>
      <c r="BJ78" s="364" t="n">
        <f aca="false">IF(58&lt;5,0,IF(MAX(BE37:BJ37)&gt;=$B$23,1,0))</f>
        <v>0</v>
      </c>
      <c r="BK78" s="364" t="n">
        <f aca="false">IF(59&lt;5,0,IF(MAX(BF37:BK37)&gt;=$B$23,1,0))</f>
        <v>0</v>
      </c>
      <c r="BL78" s="364" t="n">
        <f aca="false">IF(60&lt;5,0,IF(MAX(BG37:BL37)&gt;=$B$23,1,0))</f>
        <v>0</v>
      </c>
      <c r="BM78" s="364" t="n">
        <f aca="false">IF(61&lt;5,0,IF(MAX(BH37:BM37)&gt;=$B$23,1,0))</f>
        <v>0</v>
      </c>
      <c r="BN78" s="364" t="n">
        <f aca="false">IF(62&lt;5,0,IF(MAX(BI37:BN37)&gt;=$B$23,1,0))</f>
        <v>0</v>
      </c>
      <c r="BO78" s="364" t="n">
        <f aca="false">IF(63&lt;5,0,IF(MAX(BJ37:BO37)&gt;=$B$23,1,0))</f>
        <v>0</v>
      </c>
      <c r="BP78" s="364" t="n">
        <f aca="false">IF(64&lt;5,0,IF(MAX(BK37:BP37)&gt;=$B$23,1,0))</f>
        <v>0</v>
      </c>
      <c r="BQ78" s="364" t="n">
        <f aca="false">IF(65&lt;5,0,IF(MAX(BL37:BQ37)&gt;=$B$23,1,0))</f>
        <v>0</v>
      </c>
      <c r="BR78" s="364" t="n">
        <f aca="false">IF(66&lt;5,0,IF(MAX(BM37:BR37)&gt;=$B$23,1,0))</f>
        <v>0</v>
      </c>
      <c r="BS78" s="364" t="n">
        <f aca="false">IF(67&lt;5,0,IF(MAX(BN37:BS37)&gt;=$B$23,1,0))</f>
        <v>0</v>
      </c>
      <c r="BT78" s="364" t="n">
        <f aca="false">IF(68&lt;5,0,IF(MAX(BO37:BT37)&gt;=$B$23,1,0))</f>
        <v>0</v>
      </c>
      <c r="BU78" s="364" t="n">
        <f aca="false">IF(69&lt;5,0,IF(MAX(BP37:BU37)&gt;=$B$23,1,0))</f>
        <v>0</v>
      </c>
      <c r="BV78" s="364" t="n">
        <f aca="false">IF(70&lt;5,0,IF(MAX(BQ37:BV37)&gt;=$B$23,1,0))</f>
        <v>0</v>
      </c>
      <c r="BW78" s="364" t="n">
        <f aca="false">IF(71&lt;5,0,IF(MAX(BR37:BW37)&gt;=$B$23,1,0))</f>
        <v>0</v>
      </c>
      <c r="BX78" s="364" t="n">
        <f aca="false">IF(72&lt;5,0,IF(MAX(BS37:BX37)&gt;=$B$23,1,0))</f>
        <v>0</v>
      </c>
      <c r="BY78" s="364" t="n">
        <f aca="false">IF(73&lt;5,0,IF(MAX(BT37:BY37)&gt;=$B$23,1,0))</f>
        <v>0</v>
      </c>
      <c r="BZ78" s="364" t="n">
        <f aca="false">IF(74&lt;5,0,IF(MAX(BU37:BZ37)&gt;=$B$23,1,0))</f>
        <v>0</v>
      </c>
      <c r="CA78" s="364" t="n">
        <f aca="false">IF(75&lt;5,0,IF(MAX(BV37:CA37)&gt;=$B$23,1,0))</f>
        <v>0</v>
      </c>
      <c r="CB78" s="364" t="n">
        <f aca="false">IF(76&lt;5,0,IF(MAX(BW37:CB37)&gt;=$B$23,1,0))</f>
        <v>0</v>
      </c>
      <c r="CC78" s="364" t="n">
        <f aca="false">IF(77&lt;5,0,IF(MAX(BX37:CC37)&gt;=$B$23,1,0))</f>
        <v>0</v>
      </c>
      <c r="CD78" s="364" t="n">
        <f aca="false">IF(78&lt;5,0,IF(MAX(BY37:CD37)&gt;=$B$23,1,0))</f>
        <v>0</v>
      </c>
      <c r="CE78" s="364" t="n">
        <f aca="false">IF(79&lt;5,0,IF(MAX(BZ37:CE37)&gt;=$B$23,1,0))</f>
        <v>0</v>
      </c>
      <c r="CF78" s="364" t="n">
        <f aca="false">IF(80&lt;5,0,IF(MAX(CA37:CF37)&gt;=$B$23,1,0))</f>
        <v>0</v>
      </c>
      <c r="CG78" s="364" t="n">
        <f aca="false">IF(81&lt;5,0,IF(MAX(CB37:CG37)&gt;=$B$23,1,0))</f>
        <v>0</v>
      </c>
      <c r="CH78" s="364" t="n">
        <f aca="false">IF(82&lt;5,0,IF(MAX(CC37:CH37)&gt;=$B$23,1,0))</f>
        <v>0</v>
      </c>
      <c r="CI78" s="364" t="n">
        <f aca="false">IF(83&lt;5,0,IF(MAX(CD37:CI37)&gt;=$B$23,1,0))</f>
        <v>0</v>
      </c>
      <c r="CJ78" s="364" t="n">
        <f aca="false">IF(84&lt;5,0,IF(MAX(CE37:CJ37)&gt;=$B$23,1,0))</f>
        <v>0</v>
      </c>
      <c r="CK78" s="364" t="n">
        <f aca="false">IF(85&lt;5,0,IF(MAX(CF37:CK37)&gt;=$B$23,1,0))</f>
        <v>0</v>
      </c>
      <c r="CL78" s="364" t="n">
        <f aca="false">IF(86&lt;5,0,IF(MAX(CG37:CL37)&gt;=$B$23,1,0))</f>
        <v>0</v>
      </c>
      <c r="CM78" s="364" t="n">
        <f aca="false">IF(87&lt;5,0,IF(MAX(CH37:CM37)&gt;=$B$23,1,0))</f>
        <v>0</v>
      </c>
      <c r="CN78" s="364" t="n">
        <f aca="false">IF(88&lt;5,0,IF(MAX(CI37:CN37)&gt;=$B$23,1,0))</f>
        <v>0</v>
      </c>
      <c r="CO78" s="364" t="n">
        <f aca="false">IF(89&lt;5,0,IF(MAX(CJ37:CO37)&gt;=$B$23,1,0))</f>
        <v>0</v>
      </c>
      <c r="CP78" s="364" t="n">
        <f aca="false">IF(90&lt;5,0,IF(MAX(CK37:CP37)&gt;=$B$23,1,0))</f>
        <v>0</v>
      </c>
      <c r="CQ78" s="364" t="n">
        <f aca="false">IF(91&lt;5,0,IF(MAX(CL37:CQ37)&gt;=$B$23,1,0))</f>
        <v>0</v>
      </c>
      <c r="CR78" s="364" t="n">
        <f aca="false">IF(92&lt;5,0,IF(MAX(CM37:CR37)&gt;=$B$23,1,0))</f>
        <v>0</v>
      </c>
      <c r="CS78" s="364" t="n">
        <f aca="false">IF(93&lt;5,0,IF(MAX(CN37:CS37)&gt;=$B$23,1,0))</f>
        <v>0</v>
      </c>
      <c r="CT78" s="364" t="n">
        <f aca="false">IF(94&lt;5,0,IF(MAX(CO37:CT37)&gt;=$B$23,1,0))</f>
        <v>0</v>
      </c>
      <c r="CU78" s="364" t="n">
        <f aca="false">IF(95&lt;5,0,IF(MAX(CP37:CU37)&gt;=$B$23,1,0))</f>
        <v>0</v>
      </c>
      <c r="CV78" s="364" t="n">
        <f aca="false">IF(96&lt;5,0,IF(MAX(CQ37:CV37)&gt;=$B$23,1,0))</f>
        <v>0</v>
      </c>
      <c r="CW78" s="364" t="n">
        <f aca="false">IF(97&lt;5,0,IF(MAX(CR37:CW37)&gt;=$B$23,1,0))</f>
        <v>0</v>
      </c>
      <c r="CX78" s="364" t="n">
        <f aca="false">IF(98&lt;5,0,IF(MAX(CS37:CX37)&gt;=$B$23,1,0))</f>
        <v>0</v>
      </c>
      <c r="CY78" s="364" t="n">
        <f aca="false">IF(99&lt;5,0,IF(MAX(CT37:CY37)&gt;=$B$23,1,0))</f>
        <v>0</v>
      </c>
      <c r="CZ78" s="364" t="n">
        <f aca="false">IF(100&lt;5,0,IF(MAX(CU37:CZ37)&gt;=$B$23,1,0))</f>
        <v>0</v>
      </c>
      <c r="DA78" s="364" t="n">
        <f aca="false">IF(101&lt;5,0,IF(MAX(CV37:DA37)&gt;=$B$23,1,0))</f>
        <v>0</v>
      </c>
      <c r="DB78" s="364" t="n">
        <f aca="false">IF(102&lt;5,0,IF(MAX(CW37:DB37)&gt;=$B$23,1,0))</f>
        <v>0</v>
      </c>
      <c r="DC78" s="364" t="n">
        <f aca="false">IF(103&lt;5,0,IF(MAX(CX37:DC37)&gt;=$B$23,1,0))</f>
        <v>0</v>
      </c>
      <c r="DD78" s="364" t="n">
        <f aca="false">IF(104&lt;5,0,IF(MAX(CY37:DD37)&gt;=$B$23,1,0))</f>
        <v>0</v>
      </c>
      <c r="DE78" s="364" t="n">
        <f aca="false">IF(105&lt;5,0,IF(MAX(CZ37:DE37)&gt;=$B$23,1,0))</f>
        <v>0</v>
      </c>
    </row>
    <row r="80" customFormat="false" ht="13.5" hidden="false" customHeight="true" outlineLevel="0" collapsed="false">
      <c r="A80" s="221" t="s">
        <v>1241</v>
      </c>
      <c r="B80" s="222"/>
      <c r="C80" s="222"/>
      <c r="D80" s="222"/>
      <c r="E80" s="222"/>
      <c r="F80" s="222"/>
    </row>
    <row r="81" customFormat="false" ht="13.5" hidden="false" customHeight="true" outlineLevel="0" collapsed="false">
      <c r="A81" s="109" t="s">
        <v>1242</v>
      </c>
      <c r="E81" s="365" t="n">
        <f aca="false">(SUMPRODUCT($B$49:$B$58,E49:E58)+SUMPRODUCT($B$61:$B$68,E61:E68)+SUMPRODUCT($B$71:$B$74,E71:E74)+SUMPRODUCT($B$77:$B$78,E77:E78)+SUMPRODUCT($B$99:$B$104,E99:E104))/12</f>
        <v>0</v>
      </c>
      <c r="F81" s="365" t="n">
        <f aca="false">(SUMPRODUCT($B$49:$B$58,F49:F58)+SUMPRODUCT($B$61:$B$68,F61:F68)+SUMPRODUCT($B$71:$B$74,F71:F74)+SUMPRODUCT($B$77:$B$78,F77:F78)+SUMPRODUCT($B$99:$B$104,F99:F104))/12</f>
        <v>0</v>
      </c>
      <c r="G81" s="365" t="n">
        <f aca="false">(SUMPRODUCT($B$49:$B$58,G49:G58)+SUMPRODUCT($B$61:$B$68,G61:G68)+SUMPRODUCT($B$71:$B$74,G71:G74)+SUMPRODUCT($B$77:$B$78,G77:G78)+SUMPRODUCT($B$99:$B$104,G99:G104))/12</f>
        <v>0</v>
      </c>
      <c r="H81" s="365" t="n">
        <f aca="false">(SUMPRODUCT($B$49:$B$58,H49:H58)+SUMPRODUCT($B$61:$B$68,H61:H68)+SUMPRODUCT($B$71:$B$74,H71:H74)+SUMPRODUCT($B$77:$B$78,H77:H78)+SUMPRODUCT($B$99:$B$104,H99:H104))/12</f>
        <v>0</v>
      </c>
      <c r="I81" s="365" t="n">
        <f aca="false">(SUMPRODUCT($B$49:$B$58,I49:I58)+SUMPRODUCT($B$61:$B$68,I61:I68)+SUMPRODUCT($B$71:$B$74,I71:I74)+SUMPRODUCT($B$77:$B$78,I77:I78)+SUMPRODUCT($B$99:$B$104,I99:I104))/12</f>
        <v>0</v>
      </c>
      <c r="J81" s="365" t="n">
        <f aca="false">(SUMPRODUCT($B$49:$B$58,J49:J58)+SUMPRODUCT($B$61:$B$68,J61:J68)+SUMPRODUCT($B$71:$B$74,J71:J74)+SUMPRODUCT($B$77:$B$78,J77:J78)+SUMPRODUCT($B$99:$B$104,J99:J104))/12</f>
        <v>0</v>
      </c>
      <c r="K81" s="365" t="n">
        <f aca="false">(SUMPRODUCT($B$49:$B$58,K49:K58)+SUMPRODUCT($B$61:$B$68,K61:K68)+SUMPRODUCT($B$71:$B$74,K71:K74)+SUMPRODUCT($B$77:$B$78,K77:K78)+SUMPRODUCT($B$99:$B$104,K99:K104))/12</f>
        <v>0</v>
      </c>
      <c r="L81" s="365" t="n">
        <f aca="false">(SUMPRODUCT($B$49:$B$58,L49:L58)+SUMPRODUCT($B$61:$B$68,L61:L68)+SUMPRODUCT($B$71:$B$74,L71:L74)+SUMPRODUCT($B$77:$B$78,L77:L78)+SUMPRODUCT($B$99:$B$104,L99:L104))/12</f>
        <v>0</v>
      </c>
      <c r="M81" s="365" t="n">
        <f aca="false">(SUMPRODUCT($B$49:$B$58,M49:M58)+SUMPRODUCT($B$61:$B$68,M61:M68)+SUMPRODUCT($B$71:$B$74,M71:M74)+SUMPRODUCT($B$77:$B$78,M77:M78)+SUMPRODUCT($B$99:$B$104,M99:M104))/12</f>
        <v>13333.3333333333</v>
      </c>
      <c r="N81" s="365" t="n">
        <f aca="false">(SUMPRODUCT($B$49:$B$58,N49:N58)+SUMPRODUCT($B$61:$B$68,N61:N68)+SUMPRODUCT($B$71:$B$74,N71:N74)+SUMPRODUCT($B$77:$B$78,N77:N78)+SUMPRODUCT($B$99:$B$104,N99:N104))/12</f>
        <v>13333.3333333333</v>
      </c>
      <c r="O81" s="365" t="n">
        <f aca="false">(SUMPRODUCT($B$49:$B$58,O49:O58)+SUMPRODUCT($B$61:$B$68,O61:O68)+SUMPRODUCT($B$71:$B$74,O71:O74)+SUMPRODUCT($B$77:$B$78,O77:O78)+SUMPRODUCT($B$99:$B$104,O99:O104))/12</f>
        <v>23750</v>
      </c>
      <c r="P81" s="365" t="n">
        <f aca="false">(SUMPRODUCT($B$49:$B$58,P49:P58)+SUMPRODUCT($B$61:$B$68,P61:P68)+SUMPRODUCT($B$71:$B$74,P71:P74)+SUMPRODUCT($B$77:$B$78,P77:P78)+SUMPRODUCT($B$99:$B$104,P99:P104))/12</f>
        <v>23750</v>
      </c>
      <c r="Q81" s="365" t="n">
        <f aca="false">(SUMPRODUCT($B$49:$B$58,Q49:Q58)+SUMPRODUCT($B$61:$B$68,Q61:Q68)+SUMPRODUCT($B$71:$B$74,Q71:Q74)+SUMPRODUCT($B$77:$B$78,Q77:Q78)+SUMPRODUCT($B$99:$B$104,Q99:Q104))/12</f>
        <v>23750</v>
      </c>
      <c r="R81" s="365" t="n">
        <f aca="false">(SUMPRODUCT($B$49:$B$58,R49:R58)+SUMPRODUCT($B$61:$B$68,R61:R68)+SUMPRODUCT($B$71:$B$74,R71:R74)+SUMPRODUCT($B$77:$B$78,R77:R78)+SUMPRODUCT($B$99:$B$104,R99:R104))/12</f>
        <v>23750</v>
      </c>
      <c r="S81" s="365" t="n">
        <f aca="false">(SUMPRODUCT($B$49:$B$58,S49:S58)+SUMPRODUCT($B$61:$B$68,S61:S68)+SUMPRODUCT($B$71:$B$74,S71:S74)+SUMPRODUCT($B$77:$B$78,S77:S78)+SUMPRODUCT($B$99:$B$104,S99:S104))/12</f>
        <v>71666.6666666667</v>
      </c>
      <c r="T81" s="365" t="n">
        <f aca="false">(SUMPRODUCT($B$49:$B$58,T49:T58)+SUMPRODUCT($B$61:$B$68,T61:T68)+SUMPRODUCT($B$71:$B$74,T71:T74)+SUMPRODUCT($B$77:$B$78,T77:T78)+SUMPRODUCT($B$99:$B$104,T99:T104))/12</f>
        <v>71666.6666666667</v>
      </c>
      <c r="U81" s="365" t="n">
        <f aca="false">(SUMPRODUCT($B$49:$B$58,U49:U58)+SUMPRODUCT($B$61:$B$68,U61:U68)+SUMPRODUCT($B$71:$B$74,U71:U74)+SUMPRODUCT($B$77:$B$78,U77:U78)+SUMPRODUCT($B$99:$B$104,U99:U104))/12</f>
        <v>71666.6666666667</v>
      </c>
      <c r="V81" s="365" t="n">
        <f aca="false">(SUMPRODUCT($B$49:$B$58,V49:V58)+SUMPRODUCT($B$61:$B$68,V61:V68)+SUMPRODUCT($B$71:$B$74,V71:V74)+SUMPRODUCT($B$77:$B$78,V77:V78)+SUMPRODUCT($B$99:$B$104,V99:V104))/12</f>
        <v>71666.6666666667</v>
      </c>
      <c r="W81" s="365" t="n">
        <f aca="false">(SUMPRODUCT($B$49:$B$58,W49:W58)+SUMPRODUCT($B$61:$B$68,W61:W68)+SUMPRODUCT($B$71:$B$74,W71:W74)+SUMPRODUCT($B$77:$B$78,W77:W78)+SUMPRODUCT($B$99:$B$104,W99:W104))/12</f>
        <v>71666.6666666667</v>
      </c>
      <c r="X81" s="365" t="n">
        <f aca="false">(SUMPRODUCT($B$49:$B$58,X49:X58)+SUMPRODUCT($B$61:$B$68,X61:X68)+SUMPRODUCT($B$71:$B$74,X71:X74)+SUMPRODUCT($B$77:$B$78,X77:X78)+SUMPRODUCT($B$99:$B$104,X99:X104))/12</f>
        <v>71666.6666666667</v>
      </c>
      <c r="Y81" s="365" t="n">
        <f aca="false">(SUMPRODUCT($B$49:$B$58,Y49:Y58)+SUMPRODUCT($B$61:$B$68,Y61:Y68)+SUMPRODUCT($B$71:$B$74,Y71:Y74)+SUMPRODUCT($B$77:$B$78,Y77:Y78)+SUMPRODUCT($B$99:$B$104,Y99:Y104))/12</f>
        <v>71666.6666666667</v>
      </c>
      <c r="Z81" s="365" t="n">
        <f aca="false">(SUMPRODUCT($B$49:$B$58,Z49:Z58)+SUMPRODUCT($B$61:$B$68,Z61:Z68)+SUMPRODUCT($B$71:$B$74,Z71:Z74)+SUMPRODUCT($B$77:$B$78,Z77:Z78)+SUMPRODUCT($B$99:$B$104,Z99:Z104))/12</f>
        <v>47500</v>
      </c>
      <c r="AA81" s="365" t="n">
        <f aca="false">(SUMPRODUCT($B$49:$B$58,AA49:AA58)+SUMPRODUCT($B$61:$B$68,AA61:AA68)+SUMPRODUCT($B$71:$B$74,AA71:AA74)+SUMPRODUCT($B$77:$B$78,AA77:AA78)+SUMPRODUCT($B$99:$B$104,AA99:AA104))/12</f>
        <v>47500</v>
      </c>
      <c r="AB81" s="365" t="n">
        <f aca="false">(SUMPRODUCT($B$49:$B$58,AB49:AB58)+SUMPRODUCT($B$61:$B$68,AB61:AB68)+SUMPRODUCT($B$71:$B$74,AB71:AB74)+SUMPRODUCT($B$77:$B$78,AB77:AB78)+SUMPRODUCT($B$99:$B$104,AB99:AB104))/12</f>
        <v>23750</v>
      </c>
      <c r="AC81" s="365" t="n">
        <f aca="false">(SUMPRODUCT($B$49:$B$58,AC49:AC58)+SUMPRODUCT($B$61:$B$68,AC61:AC68)+SUMPRODUCT($B$71:$B$74,AC71:AC74)+SUMPRODUCT($B$77:$B$78,AC77:AC78)+SUMPRODUCT($B$99:$B$104,AC99:AC104))/12</f>
        <v>23750</v>
      </c>
      <c r="AD81" s="365" t="n">
        <f aca="false">(SUMPRODUCT($B$49:$B$58,AD49:AD58)+SUMPRODUCT($B$61:$B$68,AD61:AD68)+SUMPRODUCT($B$71:$B$74,AD71:AD74)+SUMPRODUCT($B$77:$B$78,AD77:AD78)+SUMPRODUCT($B$99:$B$104,AD99:AD104))/12</f>
        <v>0</v>
      </c>
      <c r="AE81" s="365" t="n">
        <f aca="false">(SUMPRODUCT($B$49:$B$58,AE49:AE58)+SUMPRODUCT($B$61:$B$68,AE61:AE68)+SUMPRODUCT($B$71:$B$74,AE71:AE74)+SUMPRODUCT($B$77:$B$78,AE77:AE78)+SUMPRODUCT($B$99:$B$104,AE99:AE104))/12</f>
        <v>0</v>
      </c>
      <c r="AF81" s="365" t="n">
        <f aca="false">(SUMPRODUCT($B$49:$B$58,AF49:AF58)+SUMPRODUCT($B$61:$B$68,AF61:AF68)+SUMPRODUCT($B$71:$B$74,AF71:AF74)+SUMPRODUCT($B$77:$B$78,AF77:AF78)+SUMPRODUCT($B$99:$B$104,AF99:AF104))/12</f>
        <v>0</v>
      </c>
      <c r="AG81" s="365" t="n">
        <f aca="false">(SUMPRODUCT($B$49:$B$58,AG49:AG58)+SUMPRODUCT($B$61:$B$68,AG61:AG68)+SUMPRODUCT($B$71:$B$74,AG71:AG74)+SUMPRODUCT($B$77:$B$78,AG77:AG78)+SUMPRODUCT($B$99:$B$104,AG99:AG104))/12</f>
        <v>0</v>
      </c>
      <c r="AH81" s="365" t="n">
        <f aca="false">(SUMPRODUCT($B$49:$B$58,AH49:AH58)+SUMPRODUCT($B$61:$B$68,AH61:AH68)+SUMPRODUCT($B$71:$B$74,AH71:AH74)+SUMPRODUCT($B$77:$B$78,AH77:AH78)+SUMPRODUCT($B$99:$B$104,AH99:AH104))/12</f>
        <v>0</v>
      </c>
      <c r="AI81" s="365" t="n">
        <f aca="false">(SUMPRODUCT($B$49:$B$58,AI49:AI58)+SUMPRODUCT($B$61:$B$68,AI61:AI68)+SUMPRODUCT($B$71:$B$74,AI71:AI74)+SUMPRODUCT($B$77:$B$78,AI77:AI78)+SUMPRODUCT($B$99:$B$104,AI99:AI104))/12</f>
        <v>0</v>
      </c>
      <c r="AJ81" s="365" t="n">
        <f aca="false">(SUMPRODUCT($B$49:$B$58,AJ49:AJ58)+SUMPRODUCT($B$61:$B$68,AJ61:AJ68)+SUMPRODUCT($B$71:$B$74,AJ71:AJ74)+SUMPRODUCT($B$77:$B$78,AJ77:AJ78)+SUMPRODUCT($B$99:$B$104,AJ99:AJ104))/12</f>
        <v>0</v>
      </c>
      <c r="AK81" s="365" t="n">
        <f aca="false">(SUMPRODUCT($B$49:$B$58,AK49:AK58)+SUMPRODUCT($B$61:$B$68,AK61:AK68)+SUMPRODUCT($B$71:$B$74,AK71:AK74)+SUMPRODUCT($B$77:$B$78,AK77:AK78)+SUMPRODUCT($B$99:$B$104,AK99:AK104))/12</f>
        <v>0</v>
      </c>
      <c r="AL81" s="365" t="n">
        <f aca="false">(SUMPRODUCT($B$49:$B$58,AL49:AL58)+SUMPRODUCT($B$61:$B$68,AL61:AL68)+SUMPRODUCT($B$71:$B$74,AL71:AL74)+SUMPRODUCT($B$77:$B$78,AL77:AL78)+SUMPRODUCT($B$99:$B$104,AL99:AL104))/12</f>
        <v>0</v>
      </c>
      <c r="AM81" s="365" t="n">
        <f aca="false">(SUMPRODUCT($B$49:$B$58,AM49:AM58)+SUMPRODUCT($B$61:$B$68,AM61:AM68)+SUMPRODUCT($B$71:$B$74,AM71:AM74)+SUMPRODUCT($B$77:$B$78,AM77:AM78)+SUMPRODUCT($B$99:$B$104,AM99:AM104))/12</f>
        <v>0</v>
      </c>
      <c r="AN81" s="365" t="n">
        <f aca="false">(SUMPRODUCT($B$49:$B$58,AN49:AN58)+SUMPRODUCT($B$61:$B$68,AN61:AN68)+SUMPRODUCT($B$71:$B$74,AN71:AN74)+SUMPRODUCT($B$77:$B$78,AN77:AN78)+SUMPRODUCT($B$99:$B$104,AN99:AN104))/12</f>
        <v>0</v>
      </c>
      <c r="AO81" s="365" t="n">
        <f aca="false">(SUMPRODUCT($B$49:$B$58,AO49:AO58)+SUMPRODUCT($B$61:$B$68,AO61:AO68)+SUMPRODUCT($B$71:$B$74,AO71:AO74)+SUMPRODUCT($B$77:$B$78,AO77:AO78)+SUMPRODUCT($B$99:$B$104,AO99:AO104))/12</f>
        <v>0</v>
      </c>
      <c r="AP81" s="365" t="n">
        <f aca="false">(SUMPRODUCT($B$49:$B$58,AP49:AP58)+SUMPRODUCT($B$61:$B$68,AP61:AP68)+SUMPRODUCT($B$71:$B$74,AP71:AP74)+SUMPRODUCT($B$77:$B$78,AP77:AP78)+SUMPRODUCT($B$99:$B$104,AP99:AP104))/12</f>
        <v>0</v>
      </c>
      <c r="AQ81" s="365" t="n">
        <f aca="false">(SUMPRODUCT($B$49:$B$58,AQ49:AQ58)+SUMPRODUCT($B$61:$B$68,AQ61:AQ68)+SUMPRODUCT($B$71:$B$74,AQ71:AQ74)+SUMPRODUCT($B$77:$B$78,AQ77:AQ78)+SUMPRODUCT($B$99:$B$104,AQ99:AQ104))/12</f>
        <v>0</v>
      </c>
      <c r="AR81" s="365" t="n">
        <f aca="false">(SUMPRODUCT($B$49:$B$58,AR49:AR58)+SUMPRODUCT($B$61:$B$68,AR61:AR68)+SUMPRODUCT($B$71:$B$74,AR71:AR74)+SUMPRODUCT($B$77:$B$78,AR77:AR78)+SUMPRODUCT($B$99:$B$104,AR99:AR104))/12</f>
        <v>0</v>
      </c>
      <c r="AS81" s="365" t="n">
        <f aca="false">(SUMPRODUCT($B$49:$B$58,AS49:AS58)+SUMPRODUCT($B$61:$B$68,AS61:AS68)+SUMPRODUCT($B$71:$B$74,AS71:AS74)+SUMPRODUCT($B$77:$B$78,AS77:AS78)+SUMPRODUCT($B$99:$B$104,AS99:AS104))/12</f>
        <v>0</v>
      </c>
      <c r="AT81" s="365" t="n">
        <f aca="false">(SUMPRODUCT($B$49:$B$58,AT49:AT58)+SUMPRODUCT($B$61:$B$68,AT61:AT68)+SUMPRODUCT($B$71:$B$74,AT71:AT74)+SUMPRODUCT($B$77:$B$78,AT77:AT78)+SUMPRODUCT($B$99:$B$104,AT99:AT104))/12</f>
        <v>0</v>
      </c>
      <c r="AU81" s="365" t="n">
        <f aca="false">(SUMPRODUCT($B$49:$B$58,AU49:AU58)+SUMPRODUCT($B$61:$B$68,AU61:AU68)+SUMPRODUCT($B$71:$B$74,AU71:AU74)+SUMPRODUCT($B$77:$B$78,AU77:AU78)+SUMPRODUCT($B$99:$B$104,AU99:AU104))/12</f>
        <v>0</v>
      </c>
      <c r="AV81" s="365" t="n">
        <f aca="false">(SUMPRODUCT($B$49:$B$58,AV49:AV58)+SUMPRODUCT($B$61:$B$68,AV61:AV68)+SUMPRODUCT($B$71:$B$74,AV71:AV74)+SUMPRODUCT($B$77:$B$78,AV77:AV78)+SUMPRODUCT($B$99:$B$104,AV99:AV104))/12</f>
        <v>0</v>
      </c>
      <c r="AW81" s="365" t="n">
        <f aca="false">(SUMPRODUCT($B$49:$B$58,AW49:AW58)+SUMPRODUCT($B$61:$B$68,AW61:AW68)+SUMPRODUCT($B$71:$B$74,AW71:AW74)+SUMPRODUCT($B$77:$B$78,AW77:AW78)+SUMPRODUCT($B$99:$B$104,AW99:AW104))/12</f>
        <v>0</v>
      </c>
      <c r="AX81" s="365" t="n">
        <f aca="false">(SUMPRODUCT($B$49:$B$58,AX49:AX58)+SUMPRODUCT($B$61:$B$68,AX61:AX68)+SUMPRODUCT($B$71:$B$74,AX71:AX74)+SUMPRODUCT($B$77:$B$78,AX77:AX78)+SUMPRODUCT($B$99:$B$104,AX99:AX104))/12</f>
        <v>0</v>
      </c>
      <c r="AY81" s="365" t="n">
        <f aca="false">(SUMPRODUCT($B$49:$B$58,AY49:AY58)+SUMPRODUCT($B$61:$B$68,AY61:AY68)+SUMPRODUCT($B$71:$B$74,AY71:AY74)+SUMPRODUCT($B$77:$B$78,AY77:AY78)+SUMPRODUCT($B$99:$B$104,AY99:AY104))/12</f>
        <v>0</v>
      </c>
      <c r="AZ81" s="365" t="n">
        <f aca="false">(SUMPRODUCT($B$49:$B$58,AZ49:AZ58)+SUMPRODUCT($B$61:$B$68,AZ61:AZ68)+SUMPRODUCT($B$71:$B$74,AZ71:AZ74)+SUMPRODUCT($B$77:$B$78,AZ77:AZ78)+SUMPRODUCT($B$99:$B$104,AZ99:AZ104))/12</f>
        <v>0</v>
      </c>
      <c r="BA81" s="365" t="n">
        <f aca="false">(SUMPRODUCT($B$49:$B$58,BA49:BA58)+SUMPRODUCT($B$61:$B$68,BA61:BA68)+SUMPRODUCT($B$71:$B$74,BA71:BA74)+SUMPRODUCT($B$77:$B$78,BA77:BA78)+SUMPRODUCT($B$99:$B$104,BA99:BA104))/12</f>
        <v>0</v>
      </c>
      <c r="BB81" s="365" t="n">
        <f aca="false">(SUMPRODUCT($B$49:$B$58,BB49:BB58)+SUMPRODUCT($B$61:$B$68,BB61:BB68)+SUMPRODUCT($B$71:$B$74,BB71:BB74)+SUMPRODUCT($B$77:$B$78,BB77:BB78)+SUMPRODUCT($B$99:$B$104,BB99:BB104))/12</f>
        <v>0</v>
      </c>
      <c r="BC81" s="365" t="n">
        <f aca="false">(SUMPRODUCT($B$49:$B$58,BC49:BC58)+SUMPRODUCT($B$61:$B$68,BC61:BC68)+SUMPRODUCT($B$71:$B$74,BC71:BC74)+SUMPRODUCT($B$77:$B$78,BC77:BC78)+SUMPRODUCT($B$99:$B$104,BC99:BC104))/12</f>
        <v>0</v>
      </c>
      <c r="BD81" s="365" t="n">
        <f aca="false">(SUMPRODUCT($B$49:$B$58,BD49:BD58)+SUMPRODUCT($B$61:$B$68,BD61:BD68)+SUMPRODUCT($B$71:$B$74,BD71:BD74)+SUMPRODUCT($B$77:$B$78,BD77:BD78)+SUMPRODUCT($B$99:$B$104,BD99:BD104))/12</f>
        <v>0</v>
      </c>
      <c r="BE81" s="365" t="n">
        <f aca="false">(SUMPRODUCT($B$49:$B$58,BE49:BE58)+SUMPRODUCT($B$61:$B$68,BE61:BE68)+SUMPRODUCT($B$71:$B$74,BE71:BE74)+SUMPRODUCT($B$77:$B$78,BE77:BE78)+SUMPRODUCT($B$99:$B$104,BE99:BE104))/12</f>
        <v>0</v>
      </c>
      <c r="BF81" s="365" t="n">
        <f aca="false">(SUMPRODUCT($B$49:$B$58,BF49:BF58)+SUMPRODUCT($B$61:$B$68,BF61:BF68)+SUMPRODUCT($B$71:$B$74,BF71:BF74)+SUMPRODUCT($B$77:$B$78,BF77:BF78)+SUMPRODUCT($B$99:$B$104,BF99:BF104))/12</f>
        <v>0</v>
      </c>
      <c r="BG81" s="365" t="n">
        <f aca="false">(SUMPRODUCT($B$49:$B$58,BG49:BG58)+SUMPRODUCT($B$61:$B$68,BG61:BG68)+SUMPRODUCT($B$71:$B$74,BG71:BG74)+SUMPRODUCT($B$77:$B$78,BG77:BG78)+SUMPRODUCT($B$99:$B$104,BG99:BG104))/12</f>
        <v>0</v>
      </c>
      <c r="BH81" s="365" t="n">
        <f aca="false">(SUMPRODUCT($B$49:$B$58,BH49:BH58)+SUMPRODUCT($B$61:$B$68,BH61:BH68)+SUMPRODUCT($B$71:$B$74,BH71:BH74)+SUMPRODUCT($B$77:$B$78,BH77:BH78)+SUMPRODUCT($B$99:$B$104,BH99:BH104))/12</f>
        <v>0</v>
      </c>
      <c r="BI81" s="365" t="n">
        <f aca="false">(SUMPRODUCT($B$49:$B$58,BI49:BI58)+SUMPRODUCT($B$61:$B$68,BI61:BI68)+SUMPRODUCT($B$71:$B$74,BI71:BI74)+SUMPRODUCT($B$77:$B$78,BI77:BI78)+SUMPRODUCT($B$99:$B$104,BI99:BI104))/12</f>
        <v>0</v>
      </c>
      <c r="BJ81" s="365" t="n">
        <f aca="false">(SUMPRODUCT($B$49:$B$58,BJ49:BJ58)+SUMPRODUCT($B$61:$B$68,BJ61:BJ68)+SUMPRODUCT($B$71:$B$74,BJ71:BJ74)+SUMPRODUCT($B$77:$B$78,BJ77:BJ78)+SUMPRODUCT($B$99:$B$104,BJ99:BJ104))/12</f>
        <v>0</v>
      </c>
      <c r="BK81" s="365" t="n">
        <f aca="false">(SUMPRODUCT($B$49:$B$58,BK49:BK58)+SUMPRODUCT($B$61:$B$68,BK61:BK68)+SUMPRODUCT($B$71:$B$74,BK71:BK74)+SUMPRODUCT($B$77:$B$78,BK77:BK78)+SUMPRODUCT($B$99:$B$104,BK99:BK104))/12</f>
        <v>0</v>
      </c>
      <c r="BL81" s="365" t="n">
        <f aca="false">(SUMPRODUCT($B$49:$B$58,BL49:BL58)+SUMPRODUCT($B$61:$B$68,BL61:BL68)+SUMPRODUCT($B$71:$B$74,BL71:BL74)+SUMPRODUCT($B$77:$B$78,BL77:BL78)+SUMPRODUCT($B$99:$B$104,BL99:BL104))/12</f>
        <v>0</v>
      </c>
      <c r="BM81" s="365" t="n">
        <f aca="false">(SUMPRODUCT($B$49:$B$58,BM49:BM58)+SUMPRODUCT($B$61:$B$68,BM61:BM68)+SUMPRODUCT($B$71:$B$74,BM71:BM74)+SUMPRODUCT($B$77:$B$78,BM77:BM78)+SUMPRODUCT($B$99:$B$104,BM99:BM104))/12</f>
        <v>0</v>
      </c>
      <c r="BN81" s="365" t="n">
        <f aca="false">(SUMPRODUCT($B$49:$B$58,BN49:BN58)+SUMPRODUCT($B$61:$B$68,BN61:BN68)+SUMPRODUCT($B$71:$B$74,BN71:BN74)+SUMPRODUCT($B$77:$B$78,BN77:BN78)+SUMPRODUCT($B$99:$B$104,BN99:BN104))/12</f>
        <v>0</v>
      </c>
      <c r="BO81" s="365" t="n">
        <f aca="false">(SUMPRODUCT($B$49:$B$58,BO49:BO58)+SUMPRODUCT($B$61:$B$68,BO61:BO68)+SUMPRODUCT($B$71:$B$74,BO71:BO74)+SUMPRODUCT($B$77:$B$78,BO77:BO78)+SUMPRODUCT($B$99:$B$104,BO99:BO104))/12</f>
        <v>0</v>
      </c>
      <c r="BP81" s="365" t="n">
        <f aca="false">(SUMPRODUCT($B$49:$B$58,BP49:BP58)+SUMPRODUCT($B$61:$B$68,BP61:BP68)+SUMPRODUCT($B$71:$B$74,BP71:BP74)+SUMPRODUCT($B$77:$B$78,BP77:BP78)+SUMPRODUCT($B$99:$B$104,BP99:BP104))/12</f>
        <v>0</v>
      </c>
      <c r="BQ81" s="365" t="n">
        <f aca="false">(SUMPRODUCT($B$49:$B$58,BQ49:BQ58)+SUMPRODUCT($B$61:$B$68,BQ61:BQ68)+SUMPRODUCT($B$71:$B$74,BQ71:BQ74)+SUMPRODUCT($B$77:$B$78,BQ77:BQ78)+SUMPRODUCT($B$99:$B$104,BQ99:BQ104))/12</f>
        <v>0</v>
      </c>
      <c r="BR81" s="365" t="n">
        <f aca="false">(SUMPRODUCT($B$49:$B$58,BR49:BR58)+SUMPRODUCT($B$61:$B$68,BR61:BR68)+SUMPRODUCT($B$71:$B$74,BR71:BR74)+SUMPRODUCT($B$77:$B$78,BR77:BR78)+SUMPRODUCT($B$99:$B$104,BR99:BR104))/12</f>
        <v>0</v>
      </c>
      <c r="BS81" s="365" t="n">
        <f aca="false">(SUMPRODUCT($B$49:$B$58,BS49:BS58)+SUMPRODUCT($B$61:$B$68,BS61:BS68)+SUMPRODUCT($B$71:$B$74,BS71:BS74)+SUMPRODUCT($B$77:$B$78,BS77:BS78)+SUMPRODUCT($B$99:$B$104,BS99:BS104))/12</f>
        <v>0</v>
      </c>
      <c r="BT81" s="365" t="n">
        <f aca="false">(SUMPRODUCT($B$49:$B$58,BT49:BT58)+SUMPRODUCT($B$61:$B$68,BT61:BT68)+SUMPRODUCT($B$71:$B$74,BT71:BT74)+SUMPRODUCT($B$77:$B$78,BT77:BT78)+SUMPRODUCT($B$99:$B$104,BT99:BT104))/12</f>
        <v>0</v>
      </c>
      <c r="BU81" s="365" t="n">
        <f aca="false">(SUMPRODUCT($B$49:$B$58,BU49:BU58)+SUMPRODUCT($B$61:$B$68,BU61:BU68)+SUMPRODUCT($B$71:$B$74,BU71:BU74)+SUMPRODUCT($B$77:$B$78,BU77:BU78)+SUMPRODUCT($B$99:$B$104,BU99:BU104))/12</f>
        <v>0</v>
      </c>
      <c r="BV81" s="365" t="n">
        <f aca="false">(SUMPRODUCT($B$49:$B$58,BV49:BV58)+SUMPRODUCT($B$61:$B$68,BV61:BV68)+SUMPRODUCT($B$71:$B$74,BV71:BV74)+SUMPRODUCT($B$77:$B$78,BV77:BV78)+SUMPRODUCT($B$99:$B$104,BV99:BV104))/12</f>
        <v>0</v>
      </c>
      <c r="BW81" s="365" t="n">
        <f aca="false">(SUMPRODUCT($B$49:$B$58,BW49:BW58)+SUMPRODUCT($B$61:$B$68,BW61:BW68)+SUMPRODUCT($B$71:$B$74,BW71:BW74)+SUMPRODUCT($B$77:$B$78,BW77:BW78)+SUMPRODUCT($B$99:$B$104,BW99:BW104))/12</f>
        <v>0</v>
      </c>
      <c r="BX81" s="365" t="n">
        <f aca="false">(SUMPRODUCT($B$49:$B$58,BX49:BX58)+SUMPRODUCT($B$61:$B$68,BX61:BX68)+SUMPRODUCT($B$71:$B$74,BX71:BX74)+SUMPRODUCT($B$77:$B$78,BX77:BX78)+SUMPRODUCT($B$99:$B$104,BX99:BX104))/12</f>
        <v>0</v>
      </c>
      <c r="BY81" s="365" t="n">
        <f aca="false">(SUMPRODUCT($B$49:$B$58,BY49:BY58)+SUMPRODUCT($B$61:$B$68,BY61:BY68)+SUMPRODUCT($B$71:$B$74,BY71:BY74)+SUMPRODUCT($B$77:$B$78,BY77:BY78)+SUMPRODUCT($B$99:$B$104,BY99:BY104))/12</f>
        <v>0</v>
      </c>
      <c r="BZ81" s="365" t="n">
        <f aca="false">(SUMPRODUCT($B$49:$B$58,BZ49:BZ58)+SUMPRODUCT($B$61:$B$68,BZ61:BZ68)+SUMPRODUCT($B$71:$B$74,BZ71:BZ74)+SUMPRODUCT($B$77:$B$78,BZ77:BZ78)+SUMPRODUCT($B$99:$B$104,BZ99:BZ104))/12</f>
        <v>0</v>
      </c>
      <c r="CA81" s="365" t="n">
        <f aca="false">(SUMPRODUCT($B$49:$B$58,CA49:CA58)+SUMPRODUCT($B$61:$B$68,CA61:CA68)+SUMPRODUCT($B$71:$B$74,CA71:CA74)+SUMPRODUCT($B$77:$B$78,CA77:CA78)+SUMPRODUCT($B$99:$B$104,CA99:CA104))/12</f>
        <v>0</v>
      </c>
      <c r="CB81" s="365" t="n">
        <f aca="false">(SUMPRODUCT($B$49:$B$58,CB49:CB58)+SUMPRODUCT($B$61:$B$68,CB61:CB68)+SUMPRODUCT($B$71:$B$74,CB71:CB74)+SUMPRODUCT($B$77:$B$78,CB77:CB78)+SUMPRODUCT($B$99:$B$104,CB99:CB104))/12</f>
        <v>0</v>
      </c>
      <c r="CC81" s="365" t="n">
        <f aca="false">(SUMPRODUCT($B$49:$B$58,CC49:CC58)+SUMPRODUCT($B$61:$B$68,CC61:CC68)+SUMPRODUCT($B$71:$B$74,CC71:CC74)+SUMPRODUCT($B$77:$B$78,CC77:CC78)+SUMPRODUCT($B$99:$B$104,CC99:CC104))/12</f>
        <v>0</v>
      </c>
      <c r="CD81" s="365" t="n">
        <f aca="false">(SUMPRODUCT($B$49:$B$58,CD49:CD58)+SUMPRODUCT($B$61:$B$68,CD61:CD68)+SUMPRODUCT($B$71:$B$74,CD71:CD74)+SUMPRODUCT($B$77:$B$78,CD77:CD78)+SUMPRODUCT($B$99:$B$104,CD99:CD104))/12</f>
        <v>0</v>
      </c>
      <c r="CE81" s="365" t="n">
        <f aca="false">(SUMPRODUCT($B$49:$B$58,CE49:CE58)+SUMPRODUCT($B$61:$B$68,CE61:CE68)+SUMPRODUCT($B$71:$B$74,CE71:CE74)+SUMPRODUCT($B$77:$B$78,CE77:CE78)+SUMPRODUCT($B$99:$B$104,CE99:CE104))/12</f>
        <v>0</v>
      </c>
      <c r="CF81" s="365" t="n">
        <f aca="false">(SUMPRODUCT($B$49:$B$58,CF49:CF58)+SUMPRODUCT($B$61:$B$68,CF61:CF68)+SUMPRODUCT($B$71:$B$74,CF71:CF74)+SUMPRODUCT($B$77:$B$78,CF77:CF78)+SUMPRODUCT($B$99:$B$104,CF99:CF104))/12</f>
        <v>0</v>
      </c>
      <c r="CG81" s="365" t="n">
        <f aca="false">(SUMPRODUCT($B$49:$B$58,CG49:CG58)+SUMPRODUCT($B$61:$B$68,CG61:CG68)+SUMPRODUCT($B$71:$B$74,CG71:CG74)+SUMPRODUCT($B$77:$B$78,CG77:CG78)+SUMPRODUCT($B$99:$B$104,CG99:CG104))/12</f>
        <v>0</v>
      </c>
      <c r="CH81" s="365" t="n">
        <f aca="false">(SUMPRODUCT($B$49:$B$58,CH49:CH58)+SUMPRODUCT($B$61:$B$68,CH61:CH68)+SUMPRODUCT($B$71:$B$74,CH71:CH74)+SUMPRODUCT($B$77:$B$78,CH77:CH78)+SUMPRODUCT($B$99:$B$104,CH99:CH104))/12</f>
        <v>0</v>
      </c>
      <c r="CI81" s="365" t="n">
        <f aca="false">(SUMPRODUCT($B$49:$B$58,CI49:CI58)+SUMPRODUCT($B$61:$B$68,CI61:CI68)+SUMPRODUCT($B$71:$B$74,CI71:CI74)+SUMPRODUCT($B$77:$B$78,CI77:CI78)+SUMPRODUCT($B$99:$B$104,CI99:CI104))/12</f>
        <v>0</v>
      </c>
      <c r="CJ81" s="365" t="n">
        <f aca="false">(SUMPRODUCT($B$49:$B$58,CJ49:CJ58)+SUMPRODUCT($B$61:$B$68,CJ61:CJ68)+SUMPRODUCT($B$71:$B$74,CJ71:CJ74)+SUMPRODUCT($B$77:$B$78,CJ77:CJ78)+SUMPRODUCT($B$99:$B$104,CJ99:CJ104))/12</f>
        <v>0</v>
      </c>
      <c r="CK81" s="365" t="n">
        <f aca="false">(SUMPRODUCT($B$49:$B$58,CK49:CK58)+SUMPRODUCT($B$61:$B$68,CK61:CK68)+SUMPRODUCT($B$71:$B$74,CK71:CK74)+SUMPRODUCT($B$77:$B$78,CK77:CK78)+SUMPRODUCT($B$99:$B$104,CK99:CK104))/12</f>
        <v>0</v>
      </c>
      <c r="CL81" s="365" t="n">
        <f aca="false">(SUMPRODUCT($B$49:$B$58,CL49:CL58)+SUMPRODUCT($B$61:$B$68,CL61:CL68)+SUMPRODUCT($B$71:$B$74,CL71:CL74)+SUMPRODUCT($B$77:$B$78,CL77:CL78)+SUMPRODUCT($B$99:$B$104,CL99:CL104))/12</f>
        <v>0</v>
      </c>
      <c r="CM81" s="365" t="n">
        <f aca="false">(SUMPRODUCT($B$49:$B$58,CM49:CM58)+SUMPRODUCT($B$61:$B$68,CM61:CM68)+SUMPRODUCT($B$71:$B$74,CM71:CM74)+SUMPRODUCT($B$77:$B$78,CM77:CM78)+SUMPRODUCT($B$99:$B$104,CM99:CM104))/12</f>
        <v>0</v>
      </c>
      <c r="CN81" s="365" t="n">
        <f aca="false">(SUMPRODUCT($B$49:$B$58,CN49:CN58)+SUMPRODUCT($B$61:$B$68,CN61:CN68)+SUMPRODUCT($B$71:$B$74,CN71:CN74)+SUMPRODUCT($B$77:$B$78,CN77:CN78)+SUMPRODUCT($B$99:$B$104,CN99:CN104))/12</f>
        <v>0</v>
      </c>
      <c r="CO81" s="365" t="n">
        <f aca="false">(SUMPRODUCT($B$49:$B$58,CO49:CO58)+SUMPRODUCT($B$61:$B$68,CO61:CO68)+SUMPRODUCT($B$71:$B$74,CO71:CO74)+SUMPRODUCT($B$77:$B$78,CO77:CO78)+SUMPRODUCT($B$99:$B$104,CO99:CO104))/12</f>
        <v>0</v>
      </c>
      <c r="CP81" s="365" t="n">
        <f aca="false">(SUMPRODUCT($B$49:$B$58,CP49:CP58)+SUMPRODUCT($B$61:$B$68,CP61:CP68)+SUMPRODUCT($B$71:$B$74,CP71:CP74)+SUMPRODUCT($B$77:$B$78,CP77:CP78)+SUMPRODUCT($B$99:$B$104,CP99:CP104))/12</f>
        <v>0</v>
      </c>
      <c r="CQ81" s="365" t="n">
        <f aca="false">(SUMPRODUCT($B$49:$B$58,CQ49:CQ58)+SUMPRODUCT($B$61:$B$68,CQ61:CQ68)+SUMPRODUCT($B$71:$B$74,CQ71:CQ74)+SUMPRODUCT($B$77:$B$78,CQ77:CQ78)+SUMPRODUCT($B$99:$B$104,CQ99:CQ104))/12</f>
        <v>0</v>
      </c>
      <c r="CR81" s="365" t="n">
        <f aca="false">(SUMPRODUCT($B$49:$B$58,CR49:CR58)+SUMPRODUCT($B$61:$B$68,CR61:CR68)+SUMPRODUCT($B$71:$B$74,CR71:CR74)+SUMPRODUCT($B$77:$B$78,CR77:CR78)+SUMPRODUCT($B$99:$B$104,CR99:CR104))/12</f>
        <v>0</v>
      </c>
      <c r="CS81" s="365" t="n">
        <f aca="false">(SUMPRODUCT($B$49:$B$58,CS49:CS58)+SUMPRODUCT($B$61:$B$68,CS61:CS68)+SUMPRODUCT($B$71:$B$74,CS71:CS74)+SUMPRODUCT($B$77:$B$78,CS77:CS78)+SUMPRODUCT($B$99:$B$104,CS99:CS104))/12</f>
        <v>0</v>
      </c>
      <c r="CT81" s="365" t="n">
        <f aca="false">(SUMPRODUCT($B$49:$B$58,CT49:CT58)+SUMPRODUCT($B$61:$B$68,CT61:CT68)+SUMPRODUCT($B$71:$B$74,CT71:CT74)+SUMPRODUCT($B$77:$B$78,CT77:CT78)+SUMPRODUCT($B$99:$B$104,CT99:CT104))/12</f>
        <v>0</v>
      </c>
      <c r="CU81" s="365" t="n">
        <f aca="false">(SUMPRODUCT($B$49:$B$58,CU49:CU58)+SUMPRODUCT($B$61:$B$68,CU61:CU68)+SUMPRODUCT($B$71:$B$74,CU71:CU74)+SUMPRODUCT($B$77:$B$78,CU77:CU78)+SUMPRODUCT($B$99:$B$104,CU99:CU104))/12</f>
        <v>0</v>
      </c>
      <c r="CV81" s="365" t="n">
        <f aca="false">(SUMPRODUCT($B$49:$B$58,CV49:CV58)+SUMPRODUCT($B$61:$B$68,CV61:CV68)+SUMPRODUCT($B$71:$B$74,CV71:CV74)+SUMPRODUCT($B$77:$B$78,CV77:CV78)+SUMPRODUCT($B$99:$B$104,CV99:CV104))/12</f>
        <v>0</v>
      </c>
      <c r="CW81" s="365" t="n">
        <f aca="false">(SUMPRODUCT($B$49:$B$58,CW49:CW58)+SUMPRODUCT($B$61:$B$68,CW61:CW68)+SUMPRODUCT($B$71:$B$74,CW71:CW74)+SUMPRODUCT($B$77:$B$78,CW77:CW78)+SUMPRODUCT($B$99:$B$104,CW99:CW104))/12</f>
        <v>0</v>
      </c>
      <c r="CX81" s="365" t="n">
        <f aca="false">(SUMPRODUCT($B$49:$B$58,CX49:CX58)+SUMPRODUCT($B$61:$B$68,CX61:CX68)+SUMPRODUCT($B$71:$B$74,CX71:CX74)+SUMPRODUCT($B$77:$B$78,CX77:CX78)+SUMPRODUCT($B$99:$B$104,CX99:CX104))/12</f>
        <v>0</v>
      </c>
      <c r="CY81" s="365" t="n">
        <f aca="false">(SUMPRODUCT($B$49:$B$58,CY49:CY58)+SUMPRODUCT($B$61:$B$68,CY61:CY68)+SUMPRODUCT($B$71:$B$74,CY71:CY74)+SUMPRODUCT($B$77:$B$78,CY77:CY78)+SUMPRODUCT($B$99:$B$104,CY99:CY104))/12</f>
        <v>0</v>
      </c>
      <c r="CZ81" s="365" t="n">
        <f aca="false">(SUMPRODUCT($B$49:$B$58,CZ49:CZ58)+SUMPRODUCT($B$61:$B$68,CZ61:CZ68)+SUMPRODUCT($B$71:$B$74,CZ71:CZ74)+SUMPRODUCT($B$77:$B$78,CZ77:CZ78)+SUMPRODUCT($B$99:$B$104,CZ99:CZ104))/12</f>
        <v>0</v>
      </c>
      <c r="DA81" s="365" t="n">
        <f aca="false">(SUMPRODUCT($B$49:$B$58,DA49:DA58)+SUMPRODUCT($B$61:$B$68,DA61:DA68)+SUMPRODUCT($B$71:$B$74,DA71:DA74)+SUMPRODUCT($B$77:$B$78,DA77:DA78)+SUMPRODUCT($B$99:$B$104,DA99:DA104))/12</f>
        <v>0</v>
      </c>
      <c r="DB81" s="365" t="n">
        <f aca="false">(SUMPRODUCT($B$49:$B$58,DB49:DB58)+SUMPRODUCT($B$61:$B$68,DB61:DB68)+SUMPRODUCT($B$71:$B$74,DB71:DB74)+SUMPRODUCT($B$77:$B$78,DB77:DB78)+SUMPRODUCT($B$99:$B$104,DB99:DB104))/12</f>
        <v>0</v>
      </c>
      <c r="DC81" s="365" t="n">
        <f aca="false">(SUMPRODUCT($B$49:$B$58,DC49:DC58)+SUMPRODUCT($B$61:$B$68,DC61:DC68)+SUMPRODUCT($B$71:$B$74,DC71:DC74)+SUMPRODUCT($B$77:$B$78,DC77:DC78)+SUMPRODUCT($B$99:$B$104,DC99:DC104))/12</f>
        <v>0</v>
      </c>
      <c r="DD81" s="365" t="n">
        <f aca="false">(SUMPRODUCT($B$49:$B$58,DD49:DD58)+SUMPRODUCT($B$61:$B$68,DD61:DD68)+SUMPRODUCT($B$71:$B$74,DD71:DD74)+SUMPRODUCT($B$77:$B$78,DD77:DD78)+SUMPRODUCT($B$99:$B$104,DD99:DD104))/12</f>
        <v>0</v>
      </c>
      <c r="DE81" s="365" t="n">
        <f aca="false">(SUMPRODUCT($B$49:$B$58,DE49:DE58)+SUMPRODUCT($B$61:$B$68,DE61:DE68)+SUMPRODUCT($B$71:$B$74,DE71:DE74)+SUMPRODUCT($B$77:$B$78,DE77:DE78)+SUMPRODUCT($B$99:$B$104,DE99:DE104))/12</f>
        <v>0</v>
      </c>
    </row>
    <row r="82" customFormat="false" ht="13.5" hidden="false" customHeight="true" outlineLevel="0" collapsed="false">
      <c r="A82" s="109" t="s">
        <v>1243</v>
      </c>
      <c r="E82" s="365" t="n">
        <v>0</v>
      </c>
      <c r="F82" s="365" t="n">
        <f aca="false">(SUMPRODUCT($B$49:$B$58,(F49:F58&gt;E49:E58)*1)+SUMPRODUCT($B$61:$B$68,(F61:F68&gt;E61:E68)*1)+SUMPRODUCT($B$71:$B$74,(F71:F74&gt;E71:E74)*1)+SUMPRODUCT($B$77:$B$78,(F77:F78&gt;E77:E78)*1)+SUMPRODUCT($B$99:$B$104,(F99:F104&gt;E99:E104)*1))*$B$21</f>
        <v>0</v>
      </c>
      <c r="G82" s="365" t="n">
        <f aca="false">(SUMPRODUCT($B$49:$B$58,(G49:G58&gt;F49:F58)*1)+SUMPRODUCT($B$61:$B$68,(G61:G68&gt;F61:F68)*1)+SUMPRODUCT($B$71:$B$74,(G71:G74&gt;F71:F74)*1)+SUMPRODUCT($B$77:$B$78,(G77:G78&gt;F77:F78)*1)+SUMPRODUCT($B$99:$B$104,(G99:G104&gt;F99:F104)*1))*$B$21</f>
        <v>0</v>
      </c>
      <c r="H82" s="365" t="n">
        <f aca="false">(SUMPRODUCT($B$49:$B$58,(H49:H58&gt;G49:G58)*1)+SUMPRODUCT($B$61:$B$68,(H61:H68&gt;G61:G68)*1)+SUMPRODUCT($B$71:$B$74,(H71:H74&gt;G71:G74)*1)+SUMPRODUCT($B$77:$B$78,(H77:H78&gt;G77:G78)*1)+SUMPRODUCT($B$99:$B$104,(H99:H104&gt;G99:G104)*1))*$B$21</f>
        <v>0</v>
      </c>
      <c r="I82" s="365" t="n">
        <f aca="false">(SUMPRODUCT($B$49:$B$58,(I49:I58&gt;H49:H58)*1)+SUMPRODUCT($B$61:$B$68,(I61:I68&gt;H61:H68)*1)+SUMPRODUCT($B$71:$B$74,(I71:I74&gt;H71:H74)*1)+SUMPRODUCT($B$77:$B$78,(I77:I78&gt;H77:H78)*1)+SUMPRODUCT($B$99:$B$104,(I99:I104&gt;H99:H104)*1))*$B$21</f>
        <v>0</v>
      </c>
      <c r="J82" s="365" t="n">
        <f aca="false">(SUMPRODUCT($B$49:$B$58,(J49:J58&gt;I49:I58)*1)+SUMPRODUCT($B$61:$B$68,(J61:J68&gt;I61:I68)*1)+SUMPRODUCT($B$71:$B$74,(J71:J74&gt;I71:I74)*1)+SUMPRODUCT($B$77:$B$78,(J77:J78&gt;I77:I78)*1)+SUMPRODUCT($B$99:$B$104,(J99:J104&gt;I99:I104)*1))*$B$21</f>
        <v>0</v>
      </c>
      <c r="K82" s="365" t="n">
        <f aca="false">(SUMPRODUCT($B$49:$B$58,(K49:K58&gt;J49:J58)*1)+SUMPRODUCT($B$61:$B$68,(K61:K68&gt;J61:J68)*1)+SUMPRODUCT($B$71:$B$74,(K71:K74&gt;J71:J74)*1)+SUMPRODUCT($B$77:$B$78,(K77:K78&gt;J77:J78)*1)+SUMPRODUCT($B$99:$B$104,(K99:K104&gt;J99:J104)*1))*$B$21</f>
        <v>0</v>
      </c>
      <c r="L82" s="365" t="n">
        <f aca="false">(SUMPRODUCT($B$49:$B$58,(L49:L58&gt;K49:K58)*1)+SUMPRODUCT($B$61:$B$68,(L61:L68&gt;K61:K68)*1)+SUMPRODUCT($B$71:$B$74,(L71:L74&gt;K71:K74)*1)+SUMPRODUCT($B$77:$B$78,(L77:L78&gt;K77:K78)*1)+SUMPRODUCT($B$99:$B$104,(L99:L104&gt;K99:K104)*1))*$B$21</f>
        <v>0</v>
      </c>
      <c r="M82" s="365" t="n">
        <f aca="false">(SUMPRODUCT($B$49:$B$58,(M49:M58&gt;L49:L58)*1)+SUMPRODUCT($B$61:$B$68,(M61:M68&gt;L61:L68)*1)+SUMPRODUCT($B$71:$B$74,(M71:M74&gt;L71:L74)*1)+SUMPRODUCT($B$77:$B$78,(M77:M78&gt;L77:L78)*1)+SUMPRODUCT($B$99:$B$104,(M99:M104&gt;L99:L104)*1))*$B$21</f>
        <v>12000</v>
      </c>
      <c r="N82" s="365" t="n">
        <f aca="false">(SUMPRODUCT($B$49:$B$58,(N49:N58&gt;M49:M58)*1)+SUMPRODUCT($B$61:$B$68,(N61:N68&gt;M61:M68)*1)+SUMPRODUCT($B$71:$B$74,(N71:N74&gt;M71:M74)*1)+SUMPRODUCT($B$77:$B$78,(N77:N78&gt;M77:M78)*1)+SUMPRODUCT($B$99:$B$104,(N99:N104&gt;M99:M104)*1))*$B$21</f>
        <v>0</v>
      </c>
      <c r="O82" s="365" t="n">
        <f aca="false">(SUMPRODUCT($B$49:$B$58,(O49:O58&gt;N49:N58)*1)+SUMPRODUCT($B$61:$B$68,(O61:O68&gt;N61:N68)*1)+SUMPRODUCT($B$71:$B$74,(O71:O74&gt;N71:N74)*1)+SUMPRODUCT($B$77:$B$78,(O77:O78&gt;N77:N78)*1)+SUMPRODUCT($B$99:$B$104,(O99:O104&gt;N99:N104)*1))*$B$21</f>
        <v>9375</v>
      </c>
      <c r="P82" s="365" t="n">
        <f aca="false">(SUMPRODUCT($B$49:$B$58,(P49:P58&gt;O49:O58)*1)+SUMPRODUCT($B$61:$B$68,(P61:P68&gt;O61:O68)*1)+SUMPRODUCT($B$71:$B$74,(P71:P74&gt;O71:O74)*1)+SUMPRODUCT($B$77:$B$78,(P77:P78&gt;O77:O78)*1)+SUMPRODUCT($B$99:$B$104,(P99:P104&gt;O99:O104)*1))*$B$21</f>
        <v>0</v>
      </c>
      <c r="Q82" s="365" t="n">
        <f aca="false">(SUMPRODUCT($B$49:$B$58,(Q49:Q58&gt;P49:P58)*1)+SUMPRODUCT($B$61:$B$68,(Q61:Q68&gt;P61:P68)*1)+SUMPRODUCT($B$71:$B$74,(Q71:Q74&gt;P71:P74)*1)+SUMPRODUCT($B$77:$B$78,(Q77:Q78&gt;P77:P78)*1)+SUMPRODUCT($B$99:$B$104,(Q99:Q104&gt;P99:P104)*1))*$B$21</f>
        <v>0</v>
      </c>
      <c r="R82" s="365" t="n">
        <f aca="false">(SUMPRODUCT($B$49:$B$58,(R49:R58&gt;Q49:Q58)*1)+SUMPRODUCT($B$61:$B$68,(R61:R68&gt;Q61:Q68)*1)+SUMPRODUCT($B$71:$B$74,(R71:R74&gt;Q71:Q74)*1)+SUMPRODUCT($B$77:$B$78,(R77:R78&gt;Q77:Q78)*1)+SUMPRODUCT($B$99:$B$104,(R99:R104&gt;Q99:Q104)*1))*$B$21</f>
        <v>0</v>
      </c>
      <c r="S82" s="365" t="n">
        <f aca="false">(SUMPRODUCT($B$49:$B$58,(S49:S58&gt;R49:R58)*1)+SUMPRODUCT($B$61:$B$68,(S61:S68&gt;R61:R68)*1)+SUMPRODUCT($B$71:$B$74,(S71:S74&gt;R71:R74)*1)+SUMPRODUCT($B$77:$B$78,(S77:S78&gt;R77:R78)*1)+SUMPRODUCT($B$99:$B$104,(S99:S104&gt;R99:R104)*1))*$B$21</f>
        <v>43125</v>
      </c>
      <c r="T82" s="365" t="n">
        <f aca="false">(SUMPRODUCT($B$49:$B$58,(T49:T58&gt;S49:S58)*1)+SUMPRODUCT($B$61:$B$68,(T61:T68&gt;S61:S68)*1)+SUMPRODUCT($B$71:$B$74,(T71:T74&gt;S71:S74)*1)+SUMPRODUCT($B$77:$B$78,(T77:T78&gt;S77:S78)*1)+SUMPRODUCT($B$99:$B$104,(T99:T104&gt;S99:S104)*1))*$B$21</f>
        <v>0</v>
      </c>
      <c r="U82" s="365" t="n">
        <f aca="false">(SUMPRODUCT($B$49:$B$58,(U49:U58&gt;T49:T58)*1)+SUMPRODUCT($B$61:$B$68,(U61:U68&gt;T61:T68)*1)+SUMPRODUCT($B$71:$B$74,(U71:U74&gt;T71:T74)*1)+SUMPRODUCT($B$77:$B$78,(U77:U78&gt;T77:T78)*1)+SUMPRODUCT($B$99:$B$104,(U99:U104&gt;T99:T104)*1))*$B$21</f>
        <v>0</v>
      </c>
      <c r="V82" s="365" t="n">
        <f aca="false">(SUMPRODUCT($B$49:$B$58,(V49:V58&gt;U49:U58)*1)+SUMPRODUCT($B$61:$B$68,(V61:V68&gt;U61:U68)*1)+SUMPRODUCT($B$71:$B$74,(V71:V74&gt;U71:U74)*1)+SUMPRODUCT($B$77:$B$78,(V77:V78&gt;U77:U78)*1)+SUMPRODUCT($B$99:$B$104,(V99:V104&gt;U99:U104)*1))*$B$21</f>
        <v>0</v>
      </c>
      <c r="W82" s="365" t="n">
        <f aca="false">(SUMPRODUCT($B$49:$B$58,(W49:W58&gt;V49:V58)*1)+SUMPRODUCT($B$61:$B$68,(W61:W68&gt;V61:V68)*1)+SUMPRODUCT($B$71:$B$74,(W71:W74&gt;V71:V74)*1)+SUMPRODUCT($B$77:$B$78,(W77:W78&gt;V77:V78)*1)+SUMPRODUCT($B$99:$B$104,(W99:W104&gt;V99:V104)*1))*$B$21</f>
        <v>0</v>
      </c>
      <c r="X82" s="365" t="n">
        <f aca="false">(SUMPRODUCT($B$49:$B$58,(X49:X58&gt;W49:W58)*1)+SUMPRODUCT($B$61:$B$68,(X61:X68&gt;W61:W68)*1)+SUMPRODUCT($B$71:$B$74,(X71:X74&gt;W71:W74)*1)+SUMPRODUCT($B$77:$B$78,(X77:X78&gt;W77:W78)*1)+SUMPRODUCT($B$99:$B$104,(X99:X104&gt;W99:W104)*1))*$B$21</f>
        <v>0</v>
      </c>
      <c r="Y82" s="365" t="n">
        <f aca="false">(SUMPRODUCT($B$49:$B$58,(Y49:Y58&gt;X49:X58)*1)+SUMPRODUCT($B$61:$B$68,(Y61:Y68&gt;X61:X68)*1)+SUMPRODUCT($B$71:$B$74,(Y71:Y74&gt;X71:X74)*1)+SUMPRODUCT($B$77:$B$78,(Y77:Y78&gt;X77:X78)*1)+SUMPRODUCT($B$99:$B$104,(Y99:Y104&gt;X99:X104)*1))*$B$21</f>
        <v>0</v>
      </c>
      <c r="Z82" s="365" t="n">
        <f aca="false">(SUMPRODUCT($B$49:$B$58,(Z49:Z58&gt;Y49:Y58)*1)+SUMPRODUCT($B$61:$B$68,(Z61:Z68&gt;Y61:Y68)*1)+SUMPRODUCT($B$71:$B$74,(Z71:Z74&gt;Y71:Y74)*1)+SUMPRODUCT($B$77:$B$78,(Z77:Z78&gt;Y77:Y78)*1)+SUMPRODUCT($B$99:$B$104,(Z99:Z104&gt;Y99:Y104)*1))*$B$21</f>
        <v>0</v>
      </c>
      <c r="AA82" s="365" t="n">
        <f aca="false">(SUMPRODUCT($B$49:$B$58,(AA49:AA58&gt;Z49:Z58)*1)+SUMPRODUCT($B$61:$B$68,(AA61:AA68&gt;Z61:Z68)*1)+SUMPRODUCT($B$71:$B$74,(AA71:AA74&gt;Z71:Z74)*1)+SUMPRODUCT($B$77:$B$78,(AA77:AA78&gt;Z77:Z78)*1)+SUMPRODUCT($B$99:$B$104,(AA99:AA104&gt;Z99:Z104)*1))*$B$21</f>
        <v>0</v>
      </c>
      <c r="AB82" s="365" t="n">
        <f aca="false">(SUMPRODUCT($B$49:$B$58,(AB49:AB58&gt;AA49:AA58)*1)+SUMPRODUCT($B$61:$B$68,(AB61:AB68&gt;AA61:AA68)*1)+SUMPRODUCT($B$71:$B$74,(AB71:AB74&gt;AA71:AA74)*1)+SUMPRODUCT($B$77:$B$78,(AB77:AB78&gt;AA77:AA78)*1)+SUMPRODUCT($B$99:$B$104,(AB99:AB104&gt;AA99:AA104)*1))*$B$21</f>
        <v>0</v>
      </c>
      <c r="AC82" s="365" t="n">
        <f aca="false">(SUMPRODUCT($B$49:$B$58,(AC49:AC58&gt;AB49:AB58)*1)+SUMPRODUCT($B$61:$B$68,(AC61:AC68&gt;AB61:AB68)*1)+SUMPRODUCT($B$71:$B$74,(AC71:AC74&gt;AB71:AB74)*1)+SUMPRODUCT($B$77:$B$78,(AC77:AC78&gt;AB77:AB78)*1)+SUMPRODUCT($B$99:$B$104,(AC99:AC104&gt;AB99:AB104)*1))*$B$21</f>
        <v>0</v>
      </c>
      <c r="AD82" s="365" t="n">
        <f aca="false">(SUMPRODUCT($B$49:$B$58,(AD49:AD58&gt;AC49:AC58)*1)+SUMPRODUCT($B$61:$B$68,(AD61:AD68&gt;AC61:AC68)*1)+SUMPRODUCT($B$71:$B$74,(AD71:AD74&gt;AC71:AC74)*1)+SUMPRODUCT($B$77:$B$78,(AD77:AD78&gt;AC77:AC78)*1)+SUMPRODUCT($B$99:$B$104,(AD99:AD104&gt;AC99:AC104)*1))*$B$21</f>
        <v>0</v>
      </c>
      <c r="AE82" s="365" t="n">
        <f aca="false">(SUMPRODUCT($B$49:$B$58,(AE49:AE58&gt;AD49:AD58)*1)+SUMPRODUCT($B$61:$B$68,(AE61:AE68&gt;AD61:AD68)*1)+SUMPRODUCT($B$71:$B$74,(AE71:AE74&gt;AD71:AD74)*1)+SUMPRODUCT($B$77:$B$78,(AE77:AE78&gt;AD77:AD78)*1)+SUMPRODUCT($B$99:$B$104,(AE99:AE104&gt;AD99:AD104)*1))*$B$21</f>
        <v>0</v>
      </c>
      <c r="AF82" s="365" t="n">
        <f aca="false">(SUMPRODUCT($B$49:$B$58,(AF49:AF58&gt;AE49:AE58)*1)+SUMPRODUCT($B$61:$B$68,(AF61:AF68&gt;AE61:AE68)*1)+SUMPRODUCT($B$71:$B$74,(AF71:AF74&gt;AE71:AE74)*1)+SUMPRODUCT($B$77:$B$78,(AF77:AF78&gt;AE77:AE78)*1)+SUMPRODUCT($B$99:$B$104,(AF99:AF104&gt;AE99:AE104)*1))*$B$21</f>
        <v>0</v>
      </c>
      <c r="AG82" s="365" t="n">
        <f aca="false">(SUMPRODUCT($B$49:$B$58,(AG49:AG58&gt;AF49:AF58)*1)+SUMPRODUCT($B$61:$B$68,(AG61:AG68&gt;AF61:AF68)*1)+SUMPRODUCT($B$71:$B$74,(AG71:AG74&gt;AF71:AF74)*1)+SUMPRODUCT($B$77:$B$78,(AG77:AG78&gt;AF77:AF78)*1)+SUMPRODUCT($B$99:$B$104,(AG99:AG104&gt;AF99:AF104)*1))*$B$21</f>
        <v>0</v>
      </c>
      <c r="AH82" s="365" t="n">
        <f aca="false">(SUMPRODUCT($B$49:$B$58,(AH49:AH58&gt;AG49:AG58)*1)+SUMPRODUCT($B$61:$B$68,(AH61:AH68&gt;AG61:AG68)*1)+SUMPRODUCT($B$71:$B$74,(AH71:AH74&gt;AG71:AG74)*1)+SUMPRODUCT($B$77:$B$78,(AH77:AH78&gt;AG77:AG78)*1)+SUMPRODUCT($B$99:$B$104,(AH99:AH104&gt;AG99:AG104)*1))*$B$21</f>
        <v>0</v>
      </c>
      <c r="AI82" s="365" t="n">
        <f aca="false">(SUMPRODUCT($B$49:$B$58,(AI49:AI58&gt;AH49:AH58)*1)+SUMPRODUCT($B$61:$B$68,(AI61:AI68&gt;AH61:AH68)*1)+SUMPRODUCT($B$71:$B$74,(AI71:AI74&gt;AH71:AH74)*1)+SUMPRODUCT($B$77:$B$78,(AI77:AI78&gt;AH77:AH78)*1)+SUMPRODUCT($B$99:$B$104,(AI99:AI104&gt;AH99:AH104)*1))*$B$21</f>
        <v>0</v>
      </c>
      <c r="AJ82" s="365" t="n">
        <f aca="false">(SUMPRODUCT($B$49:$B$58,(AJ49:AJ58&gt;AI49:AI58)*1)+SUMPRODUCT($B$61:$B$68,(AJ61:AJ68&gt;AI61:AI68)*1)+SUMPRODUCT($B$71:$B$74,(AJ71:AJ74&gt;AI71:AI74)*1)+SUMPRODUCT($B$77:$B$78,(AJ77:AJ78&gt;AI77:AI78)*1)+SUMPRODUCT($B$99:$B$104,(AJ99:AJ104&gt;AI99:AI104)*1))*$B$21</f>
        <v>0</v>
      </c>
      <c r="AK82" s="365" t="n">
        <f aca="false">(SUMPRODUCT($B$49:$B$58,(AK49:AK58&gt;AJ49:AJ58)*1)+SUMPRODUCT($B$61:$B$68,(AK61:AK68&gt;AJ61:AJ68)*1)+SUMPRODUCT($B$71:$B$74,(AK71:AK74&gt;AJ71:AJ74)*1)+SUMPRODUCT($B$77:$B$78,(AK77:AK78&gt;AJ77:AJ78)*1)+SUMPRODUCT($B$99:$B$104,(AK99:AK104&gt;AJ99:AJ104)*1))*$B$21</f>
        <v>0</v>
      </c>
      <c r="AL82" s="365" t="n">
        <f aca="false">(SUMPRODUCT($B$49:$B$58,(AL49:AL58&gt;AK49:AK58)*1)+SUMPRODUCT($B$61:$B$68,(AL61:AL68&gt;AK61:AK68)*1)+SUMPRODUCT($B$71:$B$74,(AL71:AL74&gt;AK71:AK74)*1)+SUMPRODUCT($B$77:$B$78,(AL77:AL78&gt;AK77:AK78)*1)+SUMPRODUCT($B$99:$B$104,(AL99:AL104&gt;AK99:AK104)*1))*$B$21</f>
        <v>0</v>
      </c>
      <c r="AM82" s="365" t="n">
        <f aca="false">(SUMPRODUCT($B$49:$B$58,(AM49:AM58&gt;AL49:AL58)*1)+SUMPRODUCT($B$61:$B$68,(AM61:AM68&gt;AL61:AL68)*1)+SUMPRODUCT($B$71:$B$74,(AM71:AM74&gt;AL71:AL74)*1)+SUMPRODUCT($B$77:$B$78,(AM77:AM78&gt;AL77:AL78)*1)+SUMPRODUCT($B$99:$B$104,(AM99:AM104&gt;AL99:AL104)*1))*$B$21</f>
        <v>0</v>
      </c>
      <c r="AN82" s="365" t="n">
        <f aca="false">(SUMPRODUCT($B$49:$B$58,(AN49:AN58&gt;AM49:AM58)*1)+SUMPRODUCT($B$61:$B$68,(AN61:AN68&gt;AM61:AM68)*1)+SUMPRODUCT($B$71:$B$74,(AN71:AN74&gt;AM71:AM74)*1)+SUMPRODUCT($B$77:$B$78,(AN77:AN78&gt;AM77:AM78)*1)+SUMPRODUCT($B$99:$B$104,(AN99:AN104&gt;AM99:AM104)*1))*$B$21</f>
        <v>0</v>
      </c>
      <c r="AO82" s="365" t="n">
        <f aca="false">(SUMPRODUCT($B$49:$B$58,(AO49:AO58&gt;AN49:AN58)*1)+SUMPRODUCT($B$61:$B$68,(AO61:AO68&gt;AN61:AN68)*1)+SUMPRODUCT($B$71:$B$74,(AO71:AO74&gt;AN71:AN74)*1)+SUMPRODUCT($B$77:$B$78,(AO77:AO78&gt;AN77:AN78)*1)+SUMPRODUCT($B$99:$B$104,(AO99:AO104&gt;AN99:AN104)*1))*$B$21</f>
        <v>0</v>
      </c>
      <c r="AP82" s="365" t="n">
        <f aca="false">(SUMPRODUCT($B$49:$B$58,(AP49:AP58&gt;AO49:AO58)*1)+SUMPRODUCT($B$61:$B$68,(AP61:AP68&gt;AO61:AO68)*1)+SUMPRODUCT($B$71:$B$74,(AP71:AP74&gt;AO71:AO74)*1)+SUMPRODUCT($B$77:$B$78,(AP77:AP78&gt;AO77:AO78)*1)+SUMPRODUCT($B$99:$B$104,(AP99:AP104&gt;AO99:AO104)*1))*$B$21</f>
        <v>0</v>
      </c>
      <c r="AQ82" s="365" t="n">
        <f aca="false">(SUMPRODUCT($B$49:$B$58,(AQ49:AQ58&gt;AP49:AP58)*1)+SUMPRODUCT($B$61:$B$68,(AQ61:AQ68&gt;AP61:AP68)*1)+SUMPRODUCT($B$71:$B$74,(AQ71:AQ74&gt;AP71:AP74)*1)+SUMPRODUCT($B$77:$B$78,(AQ77:AQ78&gt;AP77:AP78)*1)+SUMPRODUCT($B$99:$B$104,(AQ99:AQ104&gt;AP99:AP104)*1))*$B$21</f>
        <v>0</v>
      </c>
      <c r="AR82" s="365" t="n">
        <f aca="false">(SUMPRODUCT($B$49:$B$58,(AR49:AR58&gt;AQ49:AQ58)*1)+SUMPRODUCT($B$61:$B$68,(AR61:AR68&gt;AQ61:AQ68)*1)+SUMPRODUCT($B$71:$B$74,(AR71:AR74&gt;AQ71:AQ74)*1)+SUMPRODUCT($B$77:$B$78,(AR77:AR78&gt;AQ77:AQ78)*1)+SUMPRODUCT($B$99:$B$104,(AR99:AR104&gt;AQ99:AQ104)*1))*$B$21</f>
        <v>0</v>
      </c>
      <c r="AS82" s="365" t="n">
        <f aca="false">(SUMPRODUCT($B$49:$B$58,(AS49:AS58&gt;AR49:AR58)*1)+SUMPRODUCT($B$61:$B$68,(AS61:AS68&gt;AR61:AR68)*1)+SUMPRODUCT($B$71:$B$74,(AS71:AS74&gt;AR71:AR74)*1)+SUMPRODUCT($B$77:$B$78,(AS77:AS78&gt;AR77:AR78)*1)+SUMPRODUCT($B$99:$B$104,(AS99:AS104&gt;AR99:AR104)*1))*$B$21</f>
        <v>0</v>
      </c>
      <c r="AT82" s="365" t="n">
        <f aca="false">(SUMPRODUCT($B$49:$B$58,(AT49:AT58&gt;AS49:AS58)*1)+SUMPRODUCT($B$61:$B$68,(AT61:AT68&gt;AS61:AS68)*1)+SUMPRODUCT($B$71:$B$74,(AT71:AT74&gt;AS71:AS74)*1)+SUMPRODUCT($B$77:$B$78,(AT77:AT78&gt;AS77:AS78)*1)+SUMPRODUCT($B$99:$B$104,(AT99:AT104&gt;AS99:AS104)*1))*$B$21</f>
        <v>0</v>
      </c>
      <c r="AU82" s="365" t="n">
        <f aca="false">(SUMPRODUCT($B$49:$B$58,(AU49:AU58&gt;AT49:AT58)*1)+SUMPRODUCT($B$61:$B$68,(AU61:AU68&gt;AT61:AT68)*1)+SUMPRODUCT($B$71:$B$74,(AU71:AU74&gt;AT71:AT74)*1)+SUMPRODUCT($B$77:$B$78,(AU77:AU78&gt;AT77:AT78)*1)+SUMPRODUCT($B$99:$B$104,(AU99:AU104&gt;AT99:AT104)*1))*$B$21</f>
        <v>0</v>
      </c>
      <c r="AV82" s="365" t="n">
        <f aca="false">(SUMPRODUCT($B$49:$B$58,(AV49:AV58&gt;AU49:AU58)*1)+SUMPRODUCT($B$61:$B$68,(AV61:AV68&gt;AU61:AU68)*1)+SUMPRODUCT($B$71:$B$74,(AV71:AV74&gt;AU71:AU74)*1)+SUMPRODUCT($B$77:$B$78,(AV77:AV78&gt;AU77:AU78)*1)+SUMPRODUCT($B$99:$B$104,(AV99:AV104&gt;AU99:AU104)*1))*$B$21</f>
        <v>0</v>
      </c>
      <c r="AW82" s="365" t="n">
        <f aca="false">(SUMPRODUCT($B$49:$B$58,(AW49:AW58&gt;AV49:AV58)*1)+SUMPRODUCT($B$61:$B$68,(AW61:AW68&gt;AV61:AV68)*1)+SUMPRODUCT($B$71:$B$74,(AW71:AW74&gt;AV71:AV74)*1)+SUMPRODUCT($B$77:$B$78,(AW77:AW78&gt;AV77:AV78)*1)+SUMPRODUCT($B$99:$B$104,(AW99:AW104&gt;AV99:AV104)*1))*$B$21</f>
        <v>0</v>
      </c>
      <c r="AX82" s="365" t="n">
        <f aca="false">(SUMPRODUCT($B$49:$B$58,(AX49:AX58&gt;AW49:AW58)*1)+SUMPRODUCT($B$61:$B$68,(AX61:AX68&gt;AW61:AW68)*1)+SUMPRODUCT($B$71:$B$74,(AX71:AX74&gt;AW71:AW74)*1)+SUMPRODUCT($B$77:$B$78,(AX77:AX78&gt;AW77:AW78)*1)+SUMPRODUCT($B$99:$B$104,(AX99:AX104&gt;AW99:AW104)*1))*$B$21</f>
        <v>0</v>
      </c>
      <c r="AY82" s="365" t="n">
        <f aca="false">(SUMPRODUCT($B$49:$B$58,(AY49:AY58&gt;AX49:AX58)*1)+SUMPRODUCT($B$61:$B$68,(AY61:AY68&gt;AX61:AX68)*1)+SUMPRODUCT($B$71:$B$74,(AY71:AY74&gt;AX71:AX74)*1)+SUMPRODUCT($B$77:$B$78,(AY77:AY78&gt;AX77:AX78)*1)+SUMPRODUCT($B$99:$B$104,(AY99:AY104&gt;AX99:AX104)*1))*$B$21</f>
        <v>0</v>
      </c>
      <c r="AZ82" s="365" t="n">
        <f aca="false">(SUMPRODUCT($B$49:$B$58,(AZ49:AZ58&gt;AY49:AY58)*1)+SUMPRODUCT($B$61:$B$68,(AZ61:AZ68&gt;AY61:AY68)*1)+SUMPRODUCT($B$71:$B$74,(AZ71:AZ74&gt;AY71:AY74)*1)+SUMPRODUCT($B$77:$B$78,(AZ77:AZ78&gt;AY77:AY78)*1)+SUMPRODUCT($B$99:$B$104,(AZ99:AZ104&gt;AY99:AY104)*1))*$B$21</f>
        <v>0</v>
      </c>
      <c r="BA82" s="365" t="n">
        <f aca="false">(SUMPRODUCT($B$49:$B$58,(BA49:BA58&gt;AZ49:AZ58)*1)+SUMPRODUCT($B$61:$B$68,(BA61:BA68&gt;AZ61:AZ68)*1)+SUMPRODUCT($B$71:$B$74,(BA71:BA74&gt;AZ71:AZ74)*1)+SUMPRODUCT($B$77:$B$78,(BA77:BA78&gt;AZ77:AZ78)*1)+SUMPRODUCT($B$99:$B$104,(BA99:BA104&gt;AZ99:AZ104)*1))*$B$21</f>
        <v>0</v>
      </c>
      <c r="BB82" s="365" t="n">
        <f aca="false">(SUMPRODUCT($B$49:$B$58,(BB49:BB58&gt;BA49:BA58)*1)+SUMPRODUCT($B$61:$B$68,(BB61:BB68&gt;BA61:BA68)*1)+SUMPRODUCT($B$71:$B$74,(BB71:BB74&gt;BA71:BA74)*1)+SUMPRODUCT($B$77:$B$78,(BB77:BB78&gt;BA77:BA78)*1)+SUMPRODUCT($B$99:$B$104,(BB99:BB104&gt;BA99:BA104)*1))*$B$21</f>
        <v>0</v>
      </c>
      <c r="BC82" s="365" t="n">
        <f aca="false">(SUMPRODUCT($B$49:$B$58,(BC49:BC58&gt;BB49:BB58)*1)+SUMPRODUCT($B$61:$B$68,(BC61:BC68&gt;BB61:BB68)*1)+SUMPRODUCT($B$71:$B$74,(BC71:BC74&gt;BB71:BB74)*1)+SUMPRODUCT($B$77:$B$78,(BC77:BC78&gt;BB77:BB78)*1)+SUMPRODUCT($B$99:$B$104,(BC99:BC104&gt;BB99:BB104)*1))*$B$21</f>
        <v>0</v>
      </c>
      <c r="BD82" s="365" t="n">
        <f aca="false">(SUMPRODUCT($B$49:$B$58,(BD49:BD58&gt;BC49:BC58)*1)+SUMPRODUCT($B$61:$B$68,(BD61:BD68&gt;BC61:BC68)*1)+SUMPRODUCT($B$71:$B$74,(BD71:BD74&gt;BC71:BC74)*1)+SUMPRODUCT($B$77:$B$78,(BD77:BD78&gt;BC77:BC78)*1)+SUMPRODUCT($B$99:$B$104,(BD99:BD104&gt;BC99:BC104)*1))*$B$21</f>
        <v>0</v>
      </c>
      <c r="BE82" s="365" t="n">
        <f aca="false">(SUMPRODUCT($B$49:$B$58,(BE49:BE58&gt;BD49:BD58)*1)+SUMPRODUCT($B$61:$B$68,(BE61:BE68&gt;BD61:BD68)*1)+SUMPRODUCT($B$71:$B$74,(BE71:BE74&gt;BD71:BD74)*1)+SUMPRODUCT($B$77:$B$78,(BE77:BE78&gt;BD77:BD78)*1)+SUMPRODUCT($B$99:$B$104,(BE99:BE104&gt;BD99:BD104)*1))*$B$21</f>
        <v>0</v>
      </c>
      <c r="BF82" s="365" t="n">
        <f aca="false">(SUMPRODUCT($B$49:$B$58,(BF49:BF58&gt;BE49:BE58)*1)+SUMPRODUCT($B$61:$B$68,(BF61:BF68&gt;BE61:BE68)*1)+SUMPRODUCT($B$71:$B$74,(BF71:BF74&gt;BE71:BE74)*1)+SUMPRODUCT($B$77:$B$78,(BF77:BF78&gt;BE77:BE78)*1)+SUMPRODUCT($B$99:$B$104,(BF99:BF104&gt;BE99:BE104)*1))*$B$21</f>
        <v>0</v>
      </c>
      <c r="BG82" s="365" t="n">
        <f aca="false">(SUMPRODUCT($B$49:$B$58,(BG49:BG58&gt;BF49:BF58)*1)+SUMPRODUCT($B$61:$B$68,(BG61:BG68&gt;BF61:BF68)*1)+SUMPRODUCT($B$71:$B$74,(BG71:BG74&gt;BF71:BF74)*1)+SUMPRODUCT($B$77:$B$78,(BG77:BG78&gt;BF77:BF78)*1)+SUMPRODUCT($B$99:$B$104,(BG99:BG104&gt;BF99:BF104)*1))*$B$21</f>
        <v>0</v>
      </c>
      <c r="BH82" s="365" t="n">
        <f aca="false">(SUMPRODUCT($B$49:$B$58,(BH49:BH58&gt;BG49:BG58)*1)+SUMPRODUCT($B$61:$B$68,(BH61:BH68&gt;BG61:BG68)*1)+SUMPRODUCT($B$71:$B$74,(BH71:BH74&gt;BG71:BG74)*1)+SUMPRODUCT($B$77:$B$78,(BH77:BH78&gt;BG77:BG78)*1)+SUMPRODUCT($B$99:$B$104,(BH99:BH104&gt;BG99:BG104)*1))*$B$21</f>
        <v>0</v>
      </c>
      <c r="BI82" s="365" t="n">
        <f aca="false">(SUMPRODUCT($B$49:$B$58,(BI49:BI58&gt;BH49:BH58)*1)+SUMPRODUCT($B$61:$B$68,(BI61:BI68&gt;BH61:BH68)*1)+SUMPRODUCT($B$71:$B$74,(BI71:BI74&gt;BH71:BH74)*1)+SUMPRODUCT($B$77:$B$78,(BI77:BI78&gt;BH77:BH78)*1)+SUMPRODUCT($B$99:$B$104,(BI99:BI104&gt;BH99:BH104)*1))*$B$21</f>
        <v>0</v>
      </c>
      <c r="BJ82" s="365" t="n">
        <f aca="false">(SUMPRODUCT($B$49:$B$58,(BJ49:BJ58&gt;BI49:BI58)*1)+SUMPRODUCT($B$61:$B$68,(BJ61:BJ68&gt;BI61:BI68)*1)+SUMPRODUCT($B$71:$B$74,(BJ71:BJ74&gt;BI71:BI74)*1)+SUMPRODUCT($B$77:$B$78,(BJ77:BJ78&gt;BI77:BI78)*1)+SUMPRODUCT($B$99:$B$104,(BJ99:BJ104&gt;BI99:BI104)*1))*$B$21</f>
        <v>0</v>
      </c>
      <c r="BK82" s="365" t="n">
        <f aca="false">(SUMPRODUCT($B$49:$B$58,(BK49:BK58&gt;BJ49:BJ58)*1)+SUMPRODUCT($B$61:$B$68,(BK61:BK68&gt;BJ61:BJ68)*1)+SUMPRODUCT($B$71:$B$74,(BK71:BK74&gt;BJ71:BJ74)*1)+SUMPRODUCT($B$77:$B$78,(BK77:BK78&gt;BJ77:BJ78)*1)+SUMPRODUCT($B$99:$B$104,(BK99:BK104&gt;BJ99:BJ104)*1))*$B$21</f>
        <v>0</v>
      </c>
      <c r="BL82" s="365" t="n">
        <f aca="false">(SUMPRODUCT($B$49:$B$58,(BL49:BL58&gt;BK49:BK58)*1)+SUMPRODUCT($B$61:$B$68,(BL61:BL68&gt;BK61:BK68)*1)+SUMPRODUCT($B$71:$B$74,(BL71:BL74&gt;BK71:BK74)*1)+SUMPRODUCT($B$77:$B$78,(BL77:BL78&gt;BK77:BK78)*1)+SUMPRODUCT($B$99:$B$104,(BL99:BL104&gt;BK99:BK104)*1))*$B$21</f>
        <v>0</v>
      </c>
      <c r="BM82" s="365" t="n">
        <f aca="false">(SUMPRODUCT($B$49:$B$58,(BM49:BM58&gt;BL49:BL58)*1)+SUMPRODUCT($B$61:$B$68,(BM61:BM68&gt;BL61:BL68)*1)+SUMPRODUCT($B$71:$B$74,(BM71:BM74&gt;BL71:BL74)*1)+SUMPRODUCT($B$77:$B$78,(BM77:BM78&gt;BL77:BL78)*1)+SUMPRODUCT($B$99:$B$104,(BM99:BM104&gt;BL99:BL104)*1))*$B$21</f>
        <v>0</v>
      </c>
      <c r="BN82" s="365" t="n">
        <f aca="false">(SUMPRODUCT($B$49:$B$58,(BN49:BN58&gt;BM49:BM58)*1)+SUMPRODUCT($B$61:$B$68,(BN61:BN68&gt;BM61:BM68)*1)+SUMPRODUCT($B$71:$B$74,(BN71:BN74&gt;BM71:BM74)*1)+SUMPRODUCT($B$77:$B$78,(BN77:BN78&gt;BM77:BM78)*1)+SUMPRODUCT($B$99:$B$104,(BN99:BN104&gt;BM99:BM104)*1))*$B$21</f>
        <v>0</v>
      </c>
      <c r="BO82" s="365" t="n">
        <f aca="false">(SUMPRODUCT($B$49:$B$58,(BO49:BO58&gt;BN49:BN58)*1)+SUMPRODUCT($B$61:$B$68,(BO61:BO68&gt;BN61:BN68)*1)+SUMPRODUCT($B$71:$B$74,(BO71:BO74&gt;BN71:BN74)*1)+SUMPRODUCT($B$77:$B$78,(BO77:BO78&gt;BN77:BN78)*1)+SUMPRODUCT($B$99:$B$104,(BO99:BO104&gt;BN99:BN104)*1))*$B$21</f>
        <v>0</v>
      </c>
      <c r="BP82" s="365" t="n">
        <f aca="false">(SUMPRODUCT($B$49:$B$58,(BP49:BP58&gt;BO49:BO58)*1)+SUMPRODUCT($B$61:$B$68,(BP61:BP68&gt;BO61:BO68)*1)+SUMPRODUCT($B$71:$B$74,(BP71:BP74&gt;BO71:BO74)*1)+SUMPRODUCT($B$77:$B$78,(BP77:BP78&gt;BO77:BO78)*1)+SUMPRODUCT($B$99:$B$104,(BP99:BP104&gt;BO99:BO104)*1))*$B$21</f>
        <v>0</v>
      </c>
      <c r="BQ82" s="365" t="n">
        <f aca="false">(SUMPRODUCT($B$49:$B$58,(BQ49:BQ58&gt;BP49:BP58)*1)+SUMPRODUCT($B$61:$B$68,(BQ61:BQ68&gt;BP61:BP68)*1)+SUMPRODUCT($B$71:$B$74,(BQ71:BQ74&gt;BP71:BP74)*1)+SUMPRODUCT($B$77:$B$78,(BQ77:BQ78&gt;BP77:BP78)*1)+SUMPRODUCT($B$99:$B$104,(BQ99:BQ104&gt;BP99:BP104)*1))*$B$21</f>
        <v>0</v>
      </c>
      <c r="BR82" s="365" t="n">
        <f aca="false">(SUMPRODUCT($B$49:$B$58,(BR49:BR58&gt;BQ49:BQ58)*1)+SUMPRODUCT($B$61:$B$68,(BR61:BR68&gt;BQ61:BQ68)*1)+SUMPRODUCT($B$71:$B$74,(BR71:BR74&gt;BQ71:BQ74)*1)+SUMPRODUCT($B$77:$B$78,(BR77:BR78&gt;BQ77:BQ78)*1)+SUMPRODUCT($B$99:$B$104,(BR99:BR104&gt;BQ99:BQ104)*1))*$B$21</f>
        <v>0</v>
      </c>
      <c r="BS82" s="365" t="n">
        <f aca="false">(SUMPRODUCT($B$49:$B$58,(BS49:BS58&gt;BR49:BR58)*1)+SUMPRODUCT($B$61:$B$68,(BS61:BS68&gt;BR61:BR68)*1)+SUMPRODUCT($B$71:$B$74,(BS71:BS74&gt;BR71:BR74)*1)+SUMPRODUCT($B$77:$B$78,(BS77:BS78&gt;BR77:BR78)*1)+SUMPRODUCT($B$99:$B$104,(BS99:BS104&gt;BR99:BR104)*1))*$B$21</f>
        <v>0</v>
      </c>
      <c r="BT82" s="365" t="n">
        <f aca="false">(SUMPRODUCT($B$49:$B$58,(BT49:BT58&gt;BS49:BS58)*1)+SUMPRODUCT($B$61:$B$68,(BT61:BT68&gt;BS61:BS68)*1)+SUMPRODUCT($B$71:$B$74,(BT71:BT74&gt;BS71:BS74)*1)+SUMPRODUCT($B$77:$B$78,(BT77:BT78&gt;BS77:BS78)*1)+SUMPRODUCT($B$99:$B$104,(BT99:BT104&gt;BS99:BS104)*1))*$B$21</f>
        <v>0</v>
      </c>
      <c r="BU82" s="365" t="n">
        <f aca="false">(SUMPRODUCT($B$49:$B$58,(BU49:BU58&gt;BT49:BT58)*1)+SUMPRODUCT($B$61:$B$68,(BU61:BU68&gt;BT61:BT68)*1)+SUMPRODUCT($B$71:$B$74,(BU71:BU74&gt;BT71:BT74)*1)+SUMPRODUCT($B$77:$B$78,(BU77:BU78&gt;BT77:BT78)*1)+SUMPRODUCT($B$99:$B$104,(BU99:BU104&gt;BT99:BT104)*1))*$B$21</f>
        <v>0</v>
      </c>
      <c r="BV82" s="365" t="n">
        <f aca="false">(SUMPRODUCT($B$49:$B$58,(BV49:BV58&gt;BU49:BU58)*1)+SUMPRODUCT($B$61:$B$68,(BV61:BV68&gt;BU61:BU68)*1)+SUMPRODUCT($B$71:$B$74,(BV71:BV74&gt;BU71:BU74)*1)+SUMPRODUCT($B$77:$B$78,(BV77:BV78&gt;BU77:BU78)*1)+SUMPRODUCT($B$99:$B$104,(BV99:BV104&gt;BU99:BU104)*1))*$B$21</f>
        <v>0</v>
      </c>
      <c r="BW82" s="365" t="n">
        <f aca="false">(SUMPRODUCT($B$49:$B$58,(BW49:BW58&gt;BV49:BV58)*1)+SUMPRODUCT($B$61:$B$68,(BW61:BW68&gt;BV61:BV68)*1)+SUMPRODUCT($B$71:$B$74,(BW71:BW74&gt;BV71:BV74)*1)+SUMPRODUCT($B$77:$B$78,(BW77:BW78&gt;BV77:BV78)*1)+SUMPRODUCT($B$99:$B$104,(BW99:BW104&gt;BV99:BV104)*1))*$B$21</f>
        <v>0</v>
      </c>
      <c r="BX82" s="365" t="n">
        <f aca="false">(SUMPRODUCT($B$49:$B$58,(BX49:BX58&gt;BW49:BW58)*1)+SUMPRODUCT($B$61:$B$68,(BX61:BX68&gt;BW61:BW68)*1)+SUMPRODUCT($B$71:$B$74,(BX71:BX74&gt;BW71:BW74)*1)+SUMPRODUCT($B$77:$B$78,(BX77:BX78&gt;BW77:BW78)*1)+SUMPRODUCT($B$99:$B$104,(BX99:BX104&gt;BW99:BW104)*1))*$B$21</f>
        <v>0</v>
      </c>
      <c r="BY82" s="365" t="n">
        <f aca="false">(SUMPRODUCT($B$49:$B$58,(BY49:BY58&gt;BX49:BX58)*1)+SUMPRODUCT($B$61:$B$68,(BY61:BY68&gt;BX61:BX68)*1)+SUMPRODUCT($B$71:$B$74,(BY71:BY74&gt;BX71:BX74)*1)+SUMPRODUCT($B$77:$B$78,(BY77:BY78&gt;BX77:BX78)*1)+SUMPRODUCT($B$99:$B$104,(BY99:BY104&gt;BX99:BX104)*1))*$B$21</f>
        <v>0</v>
      </c>
      <c r="BZ82" s="365" t="n">
        <f aca="false">(SUMPRODUCT($B$49:$B$58,(BZ49:BZ58&gt;BY49:BY58)*1)+SUMPRODUCT($B$61:$B$68,(BZ61:BZ68&gt;BY61:BY68)*1)+SUMPRODUCT($B$71:$B$74,(BZ71:BZ74&gt;BY71:BY74)*1)+SUMPRODUCT($B$77:$B$78,(BZ77:BZ78&gt;BY77:BY78)*1)+SUMPRODUCT($B$99:$B$104,(BZ99:BZ104&gt;BY99:BY104)*1))*$B$21</f>
        <v>0</v>
      </c>
      <c r="CA82" s="365" t="n">
        <f aca="false">(SUMPRODUCT($B$49:$B$58,(CA49:CA58&gt;BZ49:BZ58)*1)+SUMPRODUCT($B$61:$B$68,(CA61:CA68&gt;BZ61:BZ68)*1)+SUMPRODUCT($B$71:$B$74,(CA71:CA74&gt;BZ71:BZ74)*1)+SUMPRODUCT($B$77:$B$78,(CA77:CA78&gt;BZ77:BZ78)*1)+SUMPRODUCT($B$99:$B$104,(CA99:CA104&gt;BZ99:BZ104)*1))*$B$21</f>
        <v>0</v>
      </c>
      <c r="CB82" s="365" t="n">
        <f aca="false">(SUMPRODUCT($B$49:$B$58,(CB49:CB58&gt;CA49:CA58)*1)+SUMPRODUCT($B$61:$B$68,(CB61:CB68&gt;CA61:CA68)*1)+SUMPRODUCT($B$71:$B$74,(CB71:CB74&gt;CA71:CA74)*1)+SUMPRODUCT($B$77:$B$78,(CB77:CB78&gt;CA77:CA78)*1)+SUMPRODUCT($B$99:$B$104,(CB99:CB104&gt;CA99:CA104)*1))*$B$21</f>
        <v>0</v>
      </c>
      <c r="CC82" s="365" t="n">
        <f aca="false">(SUMPRODUCT($B$49:$B$58,(CC49:CC58&gt;CB49:CB58)*1)+SUMPRODUCT($B$61:$B$68,(CC61:CC68&gt;CB61:CB68)*1)+SUMPRODUCT($B$71:$B$74,(CC71:CC74&gt;CB71:CB74)*1)+SUMPRODUCT($B$77:$B$78,(CC77:CC78&gt;CB77:CB78)*1)+SUMPRODUCT($B$99:$B$104,(CC99:CC104&gt;CB99:CB104)*1))*$B$21</f>
        <v>0</v>
      </c>
      <c r="CD82" s="365" t="n">
        <f aca="false">(SUMPRODUCT($B$49:$B$58,(CD49:CD58&gt;CC49:CC58)*1)+SUMPRODUCT($B$61:$B$68,(CD61:CD68&gt;CC61:CC68)*1)+SUMPRODUCT($B$71:$B$74,(CD71:CD74&gt;CC71:CC74)*1)+SUMPRODUCT($B$77:$B$78,(CD77:CD78&gt;CC77:CC78)*1)+SUMPRODUCT($B$99:$B$104,(CD99:CD104&gt;CC99:CC104)*1))*$B$21</f>
        <v>0</v>
      </c>
      <c r="CE82" s="365" t="n">
        <f aca="false">(SUMPRODUCT($B$49:$B$58,(CE49:CE58&gt;CD49:CD58)*1)+SUMPRODUCT($B$61:$B$68,(CE61:CE68&gt;CD61:CD68)*1)+SUMPRODUCT($B$71:$B$74,(CE71:CE74&gt;CD71:CD74)*1)+SUMPRODUCT($B$77:$B$78,(CE77:CE78&gt;CD77:CD78)*1)+SUMPRODUCT($B$99:$B$104,(CE99:CE104&gt;CD99:CD104)*1))*$B$21</f>
        <v>0</v>
      </c>
      <c r="CF82" s="365" t="n">
        <f aca="false">(SUMPRODUCT($B$49:$B$58,(CF49:CF58&gt;CE49:CE58)*1)+SUMPRODUCT($B$61:$B$68,(CF61:CF68&gt;CE61:CE68)*1)+SUMPRODUCT($B$71:$B$74,(CF71:CF74&gt;CE71:CE74)*1)+SUMPRODUCT($B$77:$B$78,(CF77:CF78&gt;CE77:CE78)*1)+SUMPRODUCT($B$99:$B$104,(CF99:CF104&gt;CE99:CE104)*1))*$B$21</f>
        <v>0</v>
      </c>
      <c r="CG82" s="365" t="n">
        <f aca="false">(SUMPRODUCT($B$49:$B$58,(CG49:CG58&gt;CF49:CF58)*1)+SUMPRODUCT($B$61:$B$68,(CG61:CG68&gt;CF61:CF68)*1)+SUMPRODUCT($B$71:$B$74,(CG71:CG74&gt;CF71:CF74)*1)+SUMPRODUCT($B$77:$B$78,(CG77:CG78&gt;CF77:CF78)*1)+SUMPRODUCT($B$99:$B$104,(CG99:CG104&gt;CF99:CF104)*1))*$B$21</f>
        <v>0</v>
      </c>
      <c r="CH82" s="365" t="n">
        <f aca="false">(SUMPRODUCT($B$49:$B$58,(CH49:CH58&gt;CG49:CG58)*1)+SUMPRODUCT($B$61:$B$68,(CH61:CH68&gt;CG61:CG68)*1)+SUMPRODUCT($B$71:$B$74,(CH71:CH74&gt;CG71:CG74)*1)+SUMPRODUCT($B$77:$B$78,(CH77:CH78&gt;CG77:CG78)*1)+SUMPRODUCT($B$99:$B$104,(CH99:CH104&gt;CG99:CG104)*1))*$B$21</f>
        <v>0</v>
      </c>
      <c r="CI82" s="365" t="n">
        <f aca="false">(SUMPRODUCT($B$49:$B$58,(CI49:CI58&gt;CH49:CH58)*1)+SUMPRODUCT($B$61:$B$68,(CI61:CI68&gt;CH61:CH68)*1)+SUMPRODUCT($B$71:$B$74,(CI71:CI74&gt;CH71:CH74)*1)+SUMPRODUCT($B$77:$B$78,(CI77:CI78&gt;CH77:CH78)*1)+SUMPRODUCT($B$99:$B$104,(CI99:CI104&gt;CH99:CH104)*1))*$B$21</f>
        <v>0</v>
      </c>
      <c r="CJ82" s="365" t="n">
        <f aca="false">(SUMPRODUCT($B$49:$B$58,(CJ49:CJ58&gt;CI49:CI58)*1)+SUMPRODUCT($B$61:$B$68,(CJ61:CJ68&gt;CI61:CI68)*1)+SUMPRODUCT($B$71:$B$74,(CJ71:CJ74&gt;CI71:CI74)*1)+SUMPRODUCT($B$77:$B$78,(CJ77:CJ78&gt;CI77:CI78)*1)+SUMPRODUCT($B$99:$B$104,(CJ99:CJ104&gt;CI99:CI104)*1))*$B$21</f>
        <v>0</v>
      </c>
      <c r="CK82" s="365" t="n">
        <f aca="false">(SUMPRODUCT($B$49:$B$58,(CK49:CK58&gt;CJ49:CJ58)*1)+SUMPRODUCT($B$61:$B$68,(CK61:CK68&gt;CJ61:CJ68)*1)+SUMPRODUCT($B$71:$B$74,(CK71:CK74&gt;CJ71:CJ74)*1)+SUMPRODUCT($B$77:$B$78,(CK77:CK78&gt;CJ77:CJ78)*1)+SUMPRODUCT($B$99:$B$104,(CK99:CK104&gt;CJ99:CJ104)*1))*$B$21</f>
        <v>0</v>
      </c>
      <c r="CL82" s="365" t="n">
        <f aca="false">(SUMPRODUCT($B$49:$B$58,(CL49:CL58&gt;CK49:CK58)*1)+SUMPRODUCT($B$61:$B$68,(CL61:CL68&gt;CK61:CK68)*1)+SUMPRODUCT($B$71:$B$74,(CL71:CL74&gt;CK71:CK74)*1)+SUMPRODUCT($B$77:$B$78,(CL77:CL78&gt;CK77:CK78)*1)+SUMPRODUCT($B$99:$B$104,(CL99:CL104&gt;CK99:CK104)*1))*$B$21</f>
        <v>0</v>
      </c>
      <c r="CM82" s="365" t="n">
        <f aca="false">(SUMPRODUCT($B$49:$B$58,(CM49:CM58&gt;CL49:CL58)*1)+SUMPRODUCT($B$61:$B$68,(CM61:CM68&gt;CL61:CL68)*1)+SUMPRODUCT($B$71:$B$74,(CM71:CM74&gt;CL71:CL74)*1)+SUMPRODUCT($B$77:$B$78,(CM77:CM78&gt;CL77:CL78)*1)+SUMPRODUCT($B$99:$B$104,(CM99:CM104&gt;CL99:CL104)*1))*$B$21</f>
        <v>0</v>
      </c>
      <c r="CN82" s="365" t="n">
        <f aca="false">(SUMPRODUCT($B$49:$B$58,(CN49:CN58&gt;CM49:CM58)*1)+SUMPRODUCT($B$61:$B$68,(CN61:CN68&gt;CM61:CM68)*1)+SUMPRODUCT($B$71:$B$74,(CN71:CN74&gt;CM71:CM74)*1)+SUMPRODUCT($B$77:$B$78,(CN77:CN78&gt;CM77:CM78)*1)+SUMPRODUCT($B$99:$B$104,(CN99:CN104&gt;CM99:CM104)*1))*$B$21</f>
        <v>0</v>
      </c>
      <c r="CO82" s="365" t="n">
        <f aca="false">(SUMPRODUCT($B$49:$B$58,(CO49:CO58&gt;CN49:CN58)*1)+SUMPRODUCT($B$61:$B$68,(CO61:CO68&gt;CN61:CN68)*1)+SUMPRODUCT($B$71:$B$74,(CO71:CO74&gt;CN71:CN74)*1)+SUMPRODUCT($B$77:$B$78,(CO77:CO78&gt;CN77:CN78)*1)+SUMPRODUCT($B$99:$B$104,(CO99:CO104&gt;CN99:CN104)*1))*$B$21</f>
        <v>0</v>
      </c>
      <c r="CP82" s="365" t="n">
        <f aca="false">(SUMPRODUCT($B$49:$B$58,(CP49:CP58&gt;CO49:CO58)*1)+SUMPRODUCT($B$61:$B$68,(CP61:CP68&gt;CO61:CO68)*1)+SUMPRODUCT($B$71:$B$74,(CP71:CP74&gt;CO71:CO74)*1)+SUMPRODUCT($B$77:$B$78,(CP77:CP78&gt;CO77:CO78)*1)+SUMPRODUCT($B$99:$B$104,(CP99:CP104&gt;CO99:CO104)*1))*$B$21</f>
        <v>0</v>
      </c>
      <c r="CQ82" s="365" t="n">
        <f aca="false">(SUMPRODUCT($B$49:$B$58,(CQ49:CQ58&gt;CP49:CP58)*1)+SUMPRODUCT($B$61:$B$68,(CQ61:CQ68&gt;CP61:CP68)*1)+SUMPRODUCT($B$71:$B$74,(CQ71:CQ74&gt;CP71:CP74)*1)+SUMPRODUCT($B$77:$B$78,(CQ77:CQ78&gt;CP77:CP78)*1)+SUMPRODUCT($B$99:$B$104,(CQ99:CQ104&gt;CP99:CP104)*1))*$B$21</f>
        <v>0</v>
      </c>
      <c r="CR82" s="365" t="n">
        <f aca="false">(SUMPRODUCT($B$49:$B$58,(CR49:CR58&gt;CQ49:CQ58)*1)+SUMPRODUCT($B$61:$B$68,(CR61:CR68&gt;CQ61:CQ68)*1)+SUMPRODUCT($B$71:$B$74,(CR71:CR74&gt;CQ71:CQ74)*1)+SUMPRODUCT($B$77:$B$78,(CR77:CR78&gt;CQ77:CQ78)*1)+SUMPRODUCT($B$99:$B$104,(CR99:CR104&gt;CQ99:CQ104)*1))*$B$21</f>
        <v>0</v>
      </c>
      <c r="CS82" s="365" t="n">
        <f aca="false">(SUMPRODUCT($B$49:$B$58,(CS49:CS58&gt;CR49:CR58)*1)+SUMPRODUCT($B$61:$B$68,(CS61:CS68&gt;CR61:CR68)*1)+SUMPRODUCT($B$71:$B$74,(CS71:CS74&gt;CR71:CR74)*1)+SUMPRODUCT($B$77:$B$78,(CS77:CS78&gt;CR77:CR78)*1)+SUMPRODUCT($B$99:$B$104,(CS99:CS104&gt;CR99:CR104)*1))*$B$21</f>
        <v>0</v>
      </c>
      <c r="CT82" s="365" t="n">
        <f aca="false">(SUMPRODUCT($B$49:$B$58,(CT49:CT58&gt;CS49:CS58)*1)+SUMPRODUCT($B$61:$B$68,(CT61:CT68&gt;CS61:CS68)*1)+SUMPRODUCT($B$71:$B$74,(CT71:CT74&gt;CS71:CS74)*1)+SUMPRODUCT($B$77:$B$78,(CT77:CT78&gt;CS77:CS78)*1)+SUMPRODUCT($B$99:$B$104,(CT99:CT104&gt;CS99:CS104)*1))*$B$21</f>
        <v>0</v>
      </c>
      <c r="CU82" s="365" t="n">
        <f aca="false">(SUMPRODUCT($B$49:$B$58,(CU49:CU58&gt;CT49:CT58)*1)+SUMPRODUCT($B$61:$B$68,(CU61:CU68&gt;CT61:CT68)*1)+SUMPRODUCT($B$71:$B$74,(CU71:CU74&gt;CT71:CT74)*1)+SUMPRODUCT($B$77:$B$78,(CU77:CU78&gt;CT77:CT78)*1)+SUMPRODUCT($B$99:$B$104,(CU99:CU104&gt;CT99:CT104)*1))*$B$21</f>
        <v>0</v>
      </c>
      <c r="CV82" s="365" t="n">
        <f aca="false">(SUMPRODUCT($B$49:$B$58,(CV49:CV58&gt;CU49:CU58)*1)+SUMPRODUCT($B$61:$B$68,(CV61:CV68&gt;CU61:CU68)*1)+SUMPRODUCT($B$71:$B$74,(CV71:CV74&gt;CU71:CU74)*1)+SUMPRODUCT($B$77:$B$78,(CV77:CV78&gt;CU77:CU78)*1)+SUMPRODUCT($B$99:$B$104,(CV99:CV104&gt;CU99:CU104)*1))*$B$21</f>
        <v>0</v>
      </c>
      <c r="CW82" s="365" t="n">
        <f aca="false">(SUMPRODUCT($B$49:$B$58,(CW49:CW58&gt;CV49:CV58)*1)+SUMPRODUCT($B$61:$B$68,(CW61:CW68&gt;CV61:CV68)*1)+SUMPRODUCT($B$71:$B$74,(CW71:CW74&gt;CV71:CV74)*1)+SUMPRODUCT($B$77:$B$78,(CW77:CW78&gt;CV77:CV78)*1)+SUMPRODUCT($B$99:$B$104,(CW99:CW104&gt;CV99:CV104)*1))*$B$21</f>
        <v>0</v>
      </c>
      <c r="CX82" s="365" t="n">
        <f aca="false">(SUMPRODUCT($B$49:$B$58,(CX49:CX58&gt;CW49:CW58)*1)+SUMPRODUCT($B$61:$B$68,(CX61:CX68&gt;CW61:CW68)*1)+SUMPRODUCT($B$71:$B$74,(CX71:CX74&gt;CW71:CW74)*1)+SUMPRODUCT($B$77:$B$78,(CX77:CX78&gt;CW77:CW78)*1)+SUMPRODUCT($B$99:$B$104,(CX99:CX104&gt;CW99:CW104)*1))*$B$21</f>
        <v>0</v>
      </c>
      <c r="CY82" s="365" t="n">
        <f aca="false">(SUMPRODUCT($B$49:$B$58,(CY49:CY58&gt;CX49:CX58)*1)+SUMPRODUCT($B$61:$B$68,(CY61:CY68&gt;CX61:CX68)*1)+SUMPRODUCT($B$71:$B$74,(CY71:CY74&gt;CX71:CX74)*1)+SUMPRODUCT($B$77:$B$78,(CY77:CY78&gt;CX77:CX78)*1)+SUMPRODUCT($B$99:$B$104,(CY99:CY104&gt;CX99:CX104)*1))*$B$21</f>
        <v>0</v>
      </c>
      <c r="CZ82" s="365" t="n">
        <f aca="false">(SUMPRODUCT($B$49:$B$58,(CZ49:CZ58&gt;CY49:CY58)*1)+SUMPRODUCT($B$61:$B$68,(CZ61:CZ68&gt;CY61:CY68)*1)+SUMPRODUCT($B$71:$B$74,(CZ71:CZ74&gt;CY71:CY74)*1)+SUMPRODUCT($B$77:$B$78,(CZ77:CZ78&gt;CY77:CY78)*1)+SUMPRODUCT($B$99:$B$104,(CZ99:CZ104&gt;CY99:CY104)*1))*$B$21</f>
        <v>0</v>
      </c>
      <c r="DA82" s="365" t="n">
        <f aca="false">(SUMPRODUCT($B$49:$B$58,(DA49:DA58&gt;CZ49:CZ58)*1)+SUMPRODUCT($B$61:$B$68,(DA61:DA68&gt;CZ61:CZ68)*1)+SUMPRODUCT($B$71:$B$74,(DA71:DA74&gt;CZ71:CZ74)*1)+SUMPRODUCT($B$77:$B$78,(DA77:DA78&gt;CZ77:CZ78)*1)+SUMPRODUCT($B$99:$B$104,(DA99:DA104&gt;CZ99:CZ104)*1))*$B$21</f>
        <v>0</v>
      </c>
      <c r="DB82" s="365" t="n">
        <f aca="false">(SUMPRODUCT($B$49:$B$58,(DB49:DB58&gt;DA49:DA58)*1)+SUMPRODUCT($B$61:$B$68,(DB61:DB68&gt;DA61:DA68)*1)+SUMPRODUCT($B$71:$B$74,(DB71:DB74&gt;DA71:DA74)*1)+SUMPRODUCT($B$77:$B$78,(DB77:DB78&gt;DA77:DA78)*1)+SUMPRODUCT($B$99:$B$104,(DB99:DB104&gt;DA99:DA104)*1))*$B$21</f>
        <v>0</v>
      </c>
      <c r="DC82" s="365" t="n">
        <f aca="false">(SUMPRODUCT($B$49:$B$58,(DC49:DC58&gt;DB49:DB58)*1)+SUMPRODUCT($B$61:$B$68,(DC61:DC68&gt;DB61:DB68)*1)+SUMPRODUCT($B$71:$B$74,(DC71:DC74&gt;DB71:DB74)*1)+SUMPRODUCT($B$77:$B$78,(DC77:DC78&gt;DB77:DB78)*1)+SUMPRODUCT($B$99:$B$104,(DC99:DC104&gt;DB99:DB104)*1))*$B$21</f>
        <v>0</v>
      </c>
      <c r="DD82" s="365" t="n">
        <f aca="false">(SUMPRODUCT($B$49:$B$58,(DD49:DD58&gt;DC49:DC58)*1)+SUMPRODUCT($B$61:$B$68,(DD61:DD68&gt;DC61:DC68)*1)+SUMPRODUCT($B$71:$B$74,(DD71:DD74&gt;DC71:DC74)*1)+SUMPRODUCT($B$77:$B$78,(DD77:DD78&gt;DC77:DC78)*1)+SUMPRODUCT($B$99:$B$104,(DD99:DD104&gt;DC99:DC104)*1))*$B$21</f>
        <v>0</v>
      </c>
      <c r="DE82" s="365"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1244</v>
      </c>
      <c r="E83" s="365" t="n">
        <v>0</v>
      </c>
      <c r="F83" s="365" t="n">
        <f aca="false">(SUMPRODUCT($B$49:$B$58,(E49:E58&gt;F49:F58)*1)+SUMPRODUCT($B$61:$B$68,(E61:E68&gt;F61:F68)*1)+SUMPRODUCT($B$71:$B$74,(E71:E74&gt;F71:F74)*1)+SUMPRODUCT($B$77:$B$78,(E77:E78&gt;F77:F78)*1)+SUMPRODUCT($B$99:$B$104,(E99:E104&gt;F99:F104)*1))*$B$20/52</f>
        <v>0</v>
      </c>
      <c r="G83" s="365" t="n">
        <f aca="false">(SUMPRODUCT($B$49:$B$58,(F49:F58&gt;G49:G58)*1)+SUMPRODUCT($B$61:$B$68,(F61:F68&gt;G61:G68)*1)+SUMPRODUCT($B$71:$B$74,(F71:F74&gt;G71:G74)*1)+SUMPRODUCT($B$77:$B$78,(F77:F78&gt;G77:G78)*1)+SUMPRODUCT($B$99:$B$104,(F99:F104&gt;G99:G104)*1))*$B$20/52</f>
        <v>0</v>
      </c>
      <c r="H83" s="365" t="n">
        <f aca="false">(SUMPRODUCT($B$49:$B$58,(G49:G58&gt;H49:H58)*1)+SUMPRODUCT($B$61:$B$68,(G61:G68&gt;H61:H68)*1)+SUMPRODUCT($B$71:$B$74,(G71:G74&gt;H71:H74)*1)+SUMPRODUCT($B$77:$B$78,(G77:G78&gt;H77:H78)*1)+SUMPRODUCT($B$99:$B$104,(G99:G104&gt;H99:H104)*1))*$B$20/52</f>
        <v>0</v>
      </c>
      <c r="I83" s="365" t="n">
        <f aca="false">(SUMPRODUCT($B$49:$B$58,(H49:H58&gt;I49:I58)*1)+SUMPRODUCT($B$61:$B$68,(H61:H68&gt;I61:I68)*1)+SUMPRODUCT($B$71:$B$74,(H71:H74&gt;I71:I74)*1)+SUMPRODUCT($B$77:$B$78,(H77:H78&gt;I77:I78)*1)+SUMPRODUCT($B$99:$B$104,(H99:H104&gt;I99:I104)*1))*$B$20/52</f>
        <v>0</v>
      </c>
      <c r="J83" s="365" t="n">
        <f aca="false">(SUMPRODUCT($B$49:$B$58,(I49:I58&gt;J49:J58)*1)+SUMPRODUCT($B$61:$B$68,(I61:I68&gt;J61:J68)*1)+SUMPRODUCT($B$71:$B$74,(I71:I74&gt;J71:J74)*1)+SUMPRODUCT($B$77:$B$78,(I77:I78&gt;J77:J78)*1)+SUMPRODUCT($B$99:$B$104,(I99:I104&gt;J99:J104)*1))*$B$20/52</f>
        <v>0</v>
      </c>
      <c r="K83" s="365" t="n">
        <f aca="false">(SUMPRODUCT($B$49:$B$58,(J49:J58&gt;K49:K58)*1)+SUMPRODUCT($B$61:$B$68,(J61:J68&gt;K61:K68)*1)+SUMPRODUCT($B$71:$B$74,(J71:J74&gt;K71:K74)*1)+SUMPRODUCT($B$77:$B$78,(J77:J78&gt;K77:K78)*1)+SUMPRODUCT($B$99:$B$104,(J99:J104&gt;K99:K104)*1))*$B$20/52</f>
        <v>0</v>
      </c>
      <c r="L83" s="365" t="n">
        <f aca="false">(SUMPRODUCT($B$49:$B$58,(K49:K58&gt;L49:L58)*1)+SUMPRODUCT($B$61:$B$68,(K61:K68&gt;L61:L68)*1)+SUMPRODUCT($B$71:$B$74,(K71:K74&gt;L71:L74)*1)+SUMPRODUCT($B$77:$B$78,(K77:K78&gt;L77:L78)*1)+SUMPRODUCT($B$99:$B$104,(K99:K104&gt;L99:L104)*1))*$B$20/52</f>
        <v>0</v>
      </c>
      <c r="M83" s="365" t="n">
        <f aca="false">(SUMPRODUCT($B$49:$B$58,(L49:L58&gt;M49:M58)*1)+SUMPRODUCT($B$61:$B$68,(L61:L68&gt;M61:M68)*1)+SUMPRODUCT($B$71:$B$74,(L71:L74&gt;M71:M74)*1)+SUMPRODUCT($B$77:$B$78,(L77:L78&gt;M77:M78)*1)+SUMPRODUCT($B$99:$B$104,(L99:L104&gt;M99:M104)*1))*$B$20/52</f>
        <v>0</v>
      </c>
      <c r="N83" s="365" t="n">
        <f aca="false">(SUMPRODUCT($B$49:$B$58,(M49:M58&gt;N49:N58)*1)+SUMPRODUCT($B$61:$B$68,(M61:M68&gt;N61:N68)*1)+SUMPRODUCT($B$71:$B$74,(M71:M74&gt;N71:N74)*1)+SUMPRODUCT($B$77:$B$78,(M77:M78&gt;N77:N78)*1)+SUMPRODUCT($B$99:$B$104,(M99:M104&gt;N99:N104)*1))*$B$20/52</f>
        <v>0</v>
      </c>
      <c r="O83" s="365" t="n">
        <f aca="false">(SUMPRODUCT($B$49:$B$58,(N49:N58&gt;O49:O58)*1)+SUMPRODUCT($B$61:$B$68,(N61:N68&gt;O61:O68)*1)+SUMPRODUCT($B$71:$B$74,(N71:N74&gt;O71:O74)*1)+SUMPRODUCT($B$77:$B$78,(N77:N78&gt;O77:O78)*1)+SUMPRODUCT($B$99:$B$104,(N99:N104&gt;O99:O104)*1))*$B$20/52</f>
        <v>0</v>
      </c>
      <c r="P83" s="365" t="n">
        <f aca="false">(SUMPRODUCT($B$49:$B$58,(O49:O58&gt;P49:P58)*1)+SUMPRODUCT($B$61:$B$68,(O61:O68&gt;P61:P68)*1)+SUMPRODUCT($B$71:$B$74,(O71:O74&gt;P71:P74)*1)+SUMPRODUCT($B$77:$B$78,(O77:O78&gt;P77:P78)*1)+SUMPRODUCT($B$99:$B$104,(O99:O104&gt;P99:P104)*1))*$B$20/52</f>
        <v>0</v>
      </c>
      <c r="Q83" s="365" t="n">
        <f aca="false">(SUMPRODUCT($B$49:$B$58,(P49:P58&gt;Q49:Q58)*1)+SUMPRODUCT($B$61:$B$68,(P61:P68&gt;Q61:Q68)*1)+SUMPRODUCT($B$71:$B$74,(P71:P74&gt;Q71:Q74)*1)+SUMPRODUCT($B$77:$B$78,(P77:P78&gt;Q77:Q78)*1)+SUMPRODUCT($B$99:$B$104,(P99:P104&gt;Q99:Q104)*1))*$B$20/52</f>
        <v>0</v>
      </c>
      <c r="R83" s="365" t="n">
        <f aca="false">(SUMPRODUCT($B$49:$B$58,(Q49:Q58&gt;R49:R58)*1)+SUMPRODUCT($B$61:$B$68,(Q61:Q68&gt;R61:R68)*1)+SUMPRODUCT($B$71:$B$74,(Q71:Q74&gt;R71:R74)*1)+SUMPRODUCT($B$77:$B$78,(Q77:Q78&gt;R77:R78)*1)+SUMPRODUCT($B$99:$B$104,(Q99:Q104&gt;R99:R104)*1))*$B$20/52</f>
        <v>0</v>
      </c>
      <c r="S83" s="365" t="n">
        <f aca="false">(SUMPRODUCT($B$49:$B$58,(R49:R58&gt;S49:S58)*1)+SUMPRODUCT($B$61:$B$68,(R61:R68&gt;S61:S68)*1)+SUMPRODUCT($B$71:$B$74,(R71:R74&gt;S71:S74)*1)+SUMPRODUCT($B$77:$B$78,(R77:R78&gt;S77:S78)*1)+SUMPRODUCT($B$99:$B$104,(R99:R104&gt;S99:S104)*1))*$B$20/52</f>
        <v>0</v>
      </c>
      <c r="T83" s="365" t="n">
        <f aca="false">(SUMPRODUCT($B$49:$B$58,(S49:S58&gt;T49:T58)*1)+SUMPRODUCT($B$61:$B$68,(S61:S68&gt;T61:T68)*1)+SUMPRODUCT($B$71:$B$74,(S71:S74&gt;T71:T74)*1)+SUMPRODUCT($B$77:$B$78,(S77:S78&gt;T77:T78)*1)+SUMPRODUCT($B$99:$B$104,(S99:S104&gt;T99:T104)*1))*$B$20/52</f>
        <v>0</v>
      </c>
      <c r="U83" s="365" t="n">
        <f aca="false">(SUMPRODUCT($B$49:$B$58,(T49:T58&gt;U49:U58)*1)+SUMPRODUCT($B$61:$B$68,(T61:T68&gt;U61:U68)*1)+SUMPRODUCT($B$71:$B$74,(T71:T74&gt;U71:U74)*1)+SUMPRODUCT($B$77:$B$78,(T77:T78&gt;U77:U78)*1)+SUMPRODUCT($B$99:$B$104,(T99:T104&gt;U99:U104)*1))*$B$20/52</f>
        <v>0</v>
      </c>
      <c r="V83" s="365" t="n">
        <f aca="false">(SUMPRODUCT($B$49:$B$58,(U49:U58&gt;V49:V58)*1)+SUMPRODUCT($B$61:$B$68,(U61:U68&gt;V61:V68)*1)+SUMPRODUCT($B$71:$B$74,(U71:U74&gt;V71:V74)*1)+SUMPRODUCT($B$77:$B$78,(U77:U78&gt;V77:V78)*1)+SUMPRODUCT($B$99:$B$104,(U99:U104&gt;V99:V104)*1))*$B$20/52</f>
        <v>0</v>
      </c>
      <c r="W83" s="365" t="n">
        <f aca="false">(SUMPRODUCT($B$49:$B$58,(V49:V58&gt;W49:W58)*1)+SUMPRODUCT($B$61:$B$68,(V61:V68&gt;W61:W68)*1)+SUMPRODUCT($B$71:$B$74,(V71:V74&gt;W71:W74)*1)+SUMPRODUCT($B$77:$B$78,(V77:V78&gt;W77:W78)*1)+SUMPRODUCT($B$99:$B$104,(V99:V104&gt;W99:W104)*1))*$B$20/52</f>
        <v>0</v>
      </c>
      <c r="X83" s="365" t="n">
        <f aca="false">(SUMPRODUCT($B$49:$B$58,(W49:W58&gt;X49:X58)*1)+SUMPRODUCT($B$61:$B$68,(W61:W68&gt;X61:X68)*1)+SUMPRODUCT($B$71:$B$74,(W71:W74&gt;X71:X74)*1)+SUMPRODUCT($B$77:$B$78,(W77:W78&gt;X77:X78)*1)+SUMPRODUCT($B$99:$B$104,(W99:W104&gt;X99:X104)*1))*$B$20/52</f>
        <v>0</v>
      </c>
      <c r="Y83" s="365" t="n">
        <f aca="false">(SUMPRODUCT($B$49:$B$58,(X49:X58&gt;Y49:Y58)*1)+SUMPRODUCT($B$61:$B$68,(X61:X68&gt;Y61:Y68)*1)+SUMPRODUCT($B$71:$B$74,(X71:X74&gt;Y71:Y74)*1)+SUMPRODUCT($B$77:$B$78,(X77:X78&gt;Y77:Y78)*1)+SUMPRODUCT($B$99:$B$104,(X99:X104&gt;Y99:Y104)*1))*$B$20/52</f>
        <v>0</v>
      </c>
      <c r="Z83" s="365" t="n">
        <f aca="false">(SUMPRODUCT($B$49:$B$58,(Y49:Y58&gt;Z49:Z58)*1)+SUMPRODUCT($B$61:$B$68,(Y61:Y68&gt;Z61:Z68)*1)+SUMPRODUCT($B$71:$B$74,(Y71:Y74&gt;Z71:Z74)*1)+SUMPRODUCT($B$77:$B$78,(Y77:Y78&gt;Z77:Z78)*1)+SUMPRODUCT($B$99:$B$104,(Y99:Y104&gt;Z99:Z104)*1))*$B$20/52</f>
        <v>22307.6923076923</v>
      </c>
      <c r="AA83" s="365" t="n">
        <f aca="false">(SUMPRODUCT($B$49:$B$58,(Z49:Z58&gt;AA49:AA58)*1)+SUMPRODUCT($B$61:$B$68,(Z61:Z68&gt;AA61:AA68)*1)+SUMPRODUCT($B$71:$B$74,(Z71:Z74&gt;AA71:AA74)*1)+SUMPRODUCT($B$77:$B$78,(Z77:Z78&gt;AA77:AA78)*1)+SUMPRODUCT($B$99:$B$104,(Z99:Z104&gt;AA99:AA104)*1))*$B$20/52</f>
        <v>0</v>
      </c>
      <c r="AB83" s="365" t="n">
        <f aca="false">(SUMPRODUCT($B$49:$B$58,(AA49:AA58&gt;AB49:AB58)*1)+SUMPRODUCT($B$61:$B$68,(AA61:AA68&gt;AB61:AB68)*1)+SUMPRODUCT($B$71:$B$74,(AA71:AA74&gt;AB71:AB74)*1)+SUMPRODUCT($B$77:$B$78,(AA77:AA78&gt;AB77:AB78)*1)+SUMPRODUCT($B$99:$B$104,(AA99:AA104&gt;AB99:AB104)*1))*$B$20/52</f>
        <v>21923.0769230769</v>
      </c>
      <c r="AC83" s="365" t="n">
        <f aca="false">(SUMPRODUCT($B$49:$B$58,(AB49:AB58&gt;AC49:AC58)*1)+SUMPRODUCT($B$61:$B$68,(AB61:AB68&gt;AC61:AC68)*1)+SUMPRODUCT($B$71:$B$74,(AB71:AB74&gt;AC71:AC74)*1)+SUMPRODUCT($B$77:$B$78,(AB77:AB78&gt;AC77:AC78)*1)+SUMPRODUCT($B$99:$B$104,(AB99:AB104&gt;AC99:AC104)*1))*$B$20/52</f>
        <v>0</v>
      </c>
      <c r="AD83" s="365" t="n">
        <f aca="false">(SUMPRODUCT($B$49:$B$58,(AC49:AC58&gt;AD49:AD58)*1)+SUMPRODUCT($B$61:$B$68,(AC61:AC68&gt;AD61:AD68)*1)+SUMPRODUCT($B$71:$B$74,(AC71:AC74&gt;AD71:AD74)*1)+SUMPRODUCT($B$77:$B$78,(AC77:AC78&gt;AD77:AD78)*1)+SUMPRODUCT($B$99:$B$104,(AC99:AC104&gt;AD99:AD104)*1))*$B$20/52</f>
        <v>21923.0769230769</v>
      </c>
      <c r="AE83" s="365" t="n">
        <f aca="false">(SUMPRODUCT($B$49:$B$58,(AD49:AD58&gt;AE49:AE58)*1)+SUMPRODUCT($B$61:$B$68,(AD61:AD68&gt;AE61:AE68)*1)+SUMPRODUCT($B$71:$B$74,(AD71:AD74&gt;AE71:AE74)*1)+SUMPRODUCT($B$77:$B$78,(AD77:AD78&gt;AE77:AE78)*1)+SUMPRODUCT($B$99:$B$104,(AD99:AD104&gt;AE99:AE104)*1))*$B$20/52</f>
        <v>0</v>
      </c>
      <c r="AF83" s="365" t="n">
        <f aca="false">(SUMPRODUCT($B$49:$B$58,(AE49:AE58&gt;AF49:AF58)*1)+SUMPRODUCT($B$61:$B$68,(AE61:AE68&gt;AF61:AF68)*1)+SUMPRODUCT($B$71:$B$74,(AE71:AE74&gt;AF71:AF74)*1)+SUMPRODUCT($B$77:$B$78,(AE77:AE78&gt;AF77:AF78)*1)+SUMPRODUCT($B$99:$B$104,(AE99:AE104&gt;AF99:AF104)*1))*$B$20/52</f>
        <v>0</v>
      </c>
      <c r="AG83" s="365" t="n">
        <f aca="false">(SUMPRODUCT($B$49:$B$58,(AF49:AF58&gt;AG49:AG58)*1)+SUMPRODUCT($B$61:$B$68,(AF61:AF68&gt;AG61:AG68)*1)+SUMPRODUCT($B$71:$B$74,(AF71:AF74&gt;AG71:AG74)*1)+SUMPRODUCT($B$77:$B$78,(AF77:AF78&gt;AG77:AG78)*1)+SUMPRODUCT($B$99:$B$104,(AF99:AF104&gt;AG99:AG104)*1))*$B$20/52</f>
        <v>0</v>
      </c>
      <c r="AH83" s="365" t="n">
        <f aca="false">(SUMPRODUCT($B$49:$B$58,(AG49:AG58&gt;AH49:AH58)*1)+SUMPRODUCT($B$61:$B$68,(AG61:AG68&gt;AH61:AH68)*1)+SUMPRODUCT($B$71:$B$74,(AG71:AG74&gt;AH71:AH74)*1)+SUMPRODUCT($B$77:$B$78,(AG77:AG78&gt;AH77:AH78)*1)+SUMPRODUCT($B$99:$B$104,(AG99:AG104&gt;AH99:AH104)*1))*$B$20/52</f>
        <v>0</v>
      </c>
      <c r="AI83" s="365" t="n">
        <f aca="false">(SUMPRODUCT($B$49:$B$58,(AH49:AH58&gt;AI49:AI58)*1)+SUMPRODUCT($B$61:$B$68,(AH61:AH68&gt;AI61:AI68)*1)+SUMPRODUCT($B$71:$B$74,(AH71:AH74&gt;AI71:AI74)*1)+SUMPRODUCT($B$77:$B$78,(AH77:AH78&gt;AI77:AI78)*1)+SUMPRODUCT($B$99:$B$104,(AH99:AH104&gt;AI99:AI104)*1))*$B$20/52</f>
        <v>0</v>
      </c>
      <c r="AJ83" s="365" t="n">
        <f aca="false">(SUMPRODUCT($B$49:$B$58,(AI49:AI58&gt;AJ49:AJ58)*1)+SUMPRODUCT($B$61:$B$68,(AI61:AI68&gt;AJ61:AJ68)*1)+SUMPRODUCT($B$71:$B$74,(AI71:AI74&gt;AJ71:AJ74)*1)+SUMPRODUCT($B$77:$B$78,(AI77:AI78&gt;AJ77:AJ78)*1)+SUMPRODUCT($B$99:$B$104,(AI99:AI104&gt;AJ99:AJ104)*1))*$B$20/52</f>
        <v>0</v>
      </c>
      <c r="AK83" s="365" t="n">
        <f aca="false">(SUMPRODUCT($B$49:$B$58,(AJ49:AJ58&gt;AK49:AK58)*1)+SUMPRODUCT($B$61:$B$68,(AJ61:AJ68&gt;AK61:AK68)*1)+SUMPRODUCT($B$71:$B$74,(AJ71:AJ74&gt;AK71:AK74)*1)+SUMPRODUCT($B$77:$B$78,(AJ77:AJ78&gt;AK77:AK78)*1)+SUMPRODUCT($B$99:$B$104,(AJ99:AJ104&gt;AK99:AK104)*1))*$B$20/52</f>
        <v>0</v>
      </c>
      <c r="AL83" s="365" t="n">
        <f aca="false">(SUMPRODUCT($B$49:$B$58,(AK49:AK58&gt;AL49:AL58)*1)+SUMPRODUCT($B$61:$B$68,(AK61:AK68&gt;AL61:AL68)*1)+SUMPRODUCT($B$71:$B$74,(AK71:AK74&gt;AL71:AL74)*1)+SUMPRODUCT($B$77:$B$78,(AK77:AK78&gt;AL77:AL78)*1)+SUMPRODUCT($B$99:$B$104,(AK99:AK104&gt;AL99:AL104)*1))*$B$20/52</f>
        <v>0</v>
      </c>
      <c r="AM83" s="365" t="n">
        <f aca="false">(SUMPRODUCT($B$49:$B$58,(AL49:AL58&gt;AM49:AM58)*1)+SUMPRODUCT($B$61:$B$68,(AL61:AL68&gt;AM61:AM68)*1)+SUMPRODUCT($B$71:$B$74,(AL71:AL74&gt;AM71:AM74)*1)+SUMPRODUCT($B$77:$B$78,(AL77:AL78&gt;AM77:AM78)*1)+SUMPRODUCT($B$99:$B$104,(AL99:AL104&gt;AM99:AM104)*1))*$B$20/52</f>
        <v>0</v>
      </c>
      <c r="AN83" s="365" t="n">
        <f aca="false">(SUMPRODUCT($B$49:$B$58,(AM49:AM58&gt;AN49:AN58)*1)+SUMPRODUCT($B$61:$B$68,(AM61:AM68&gt;AN61:AN68)*1)+SUMPRODUCT($B$71:$B$74,(AM71:AM74&gt;AN71:AN74)*1)+SUMPRODUCT($B$77:$B$78,(AM77:AM78&gt;AN77:AN78)*1)+SUMPRODUCT($B$99:$B$104,(AM99:AM104&gt;AN99:AN104)*1))*$B$20/52</f>
        <v>0</v>
      </c>
      <c r="AO83" s="365" t="n">
        <f aca="false">(SUMPRODUCT($B$49:$B$58,(AN49:AN58&gt;AO49:AO58)*1)+SUMPRODUCT($B$61:$B$68,(AN61:AN68&gt;AO61:AO68)*1)+SUMPRODUCT($B$71:$B$74,(AN71:AN74&gt;AO71:AO74)*1)+SUMPRODUCT($B$77:$B$78,(AN77:AN78&gt;AO77:AO78)*1)+SUMPRODUCT($B$99:$B$104,(AN99:AN104&gt;AO99:AO104)*1))*$B$20/52</f>
        <v>0</v>
      </c>
      <c r="AP83" s="365" t="n">
        <f aca="false">(SUMPRODUCT($B$49:$B$58,(AO49:AO58&gt;AP49:AP58)*1)+SUMPRODUCT($B$61:$B$68,(AO61:AO68&gt;AP61:AP68)*1)+SUMPRODUCT($B$71:$B$74,(AO71:AO74&gt;AP71:AP74)*1)+SUMPRODUCT($B$77:$B$78,(AO77:AO78&gt;AP77:AP78)*1)+SUMPRODUCT($B$99:$B$104,(AO99:AO104&gt;AP99:AP104)*1))*$B$20/52</f>
        <v>0</v>
      </c>
      <c r="AQ83" s="365" t="n">
        <f aca="false">(SUMPRODUCT($B$49:$B$58,(AP49:AP58&gt;AQ49:AQ58)*1)+SUMPRODUCT($B$61:$B$68,(AP61:AP68&gt;AQ61:AQ68)*1)+SUMPRODUCT($B$71:$B$74,(AP71:AP74&gt;AQ71:AQ74)*1)+SUMPRODUCT($B$77:$B$78,(AP77:AP78&gt;AQ77:AQ78)*1)+SUMPRODUCT($B$99:$B$104,(AP99:AP104&gt;AQ99:AQ104)*1))*$B$20/52</f>
        <v>0</v>
      </c>
      <c r="AR83" s="365" t="n">
        <f aca="false">(SUMPRODUCT($B$49:$B$58,(AQ49:AQ58&gt;AR49:AR58)*1)+SUMPRODUCT($B$61:$B$68,(AQ61:AQ68&gt;AR61:AR68)*1)+SUMPRODUCT($B$71:$B$74,(AQ71:AQ74&gt;AR71:AR74)*1)+SUMPRODUCT($B$77:$B$78,(AQ77:AQ78&gt;AR77:AR78)*1)+SUMPRODUCT($B$99:$B$104,(AQ99:AQ104&gt;AR99:AR104)*1))*$B$20/52</f>
        <v>0</v>
      </c>
      <c r="AS83" s="365" t="n">
        <f aca="false">(SUMPRODUCT($B$49:$B$58,(AR49:AR58&gt;AS49:AS58)*1)+SUMPRODUCT($B$61:$B$68,(AR61:AR68&gt;AS61:AS68)*1)+SUMPRODUCT($B$71:$B$74,(AR71:AR74&gt;AS71:AS74)*1)+SUMPRODUCT($B$77:$B$78,(AR77:AR78&gt;AS77:AS78)*1)+SUMPRODUCT($B$99:$B$104,(AR99:AR104&gt;AS99:AS104)*1))*$B$20/52</f>
        <v>0</v>
      </c>
      <c r="AT83" s="365" t="n">
        <f aca="false">(SUMPRODUCT($B$49:$B$58,(AS49:AS58&gt;AT49:AT58)*1)+SUMPRODUCT($B$61:$B$68,(AS61:AS68&gt;AT61:AT68)*1)+SUMPRODUCT($B$71:$B$74,(AS71:AS74&gt;AT71:AT74)*1)+SUMPRODUCT($B$77:$B$78,(AS77:AS78&gt;AT77:AT78)*1)+SUMPRODUCT($B$99:$B$104,(AS99:AS104&gt;AT99:AT104)*1))*$B$20/52</f>
        <v>0</v>
      </c>
      <c r="AU83" s="365" t="n">
        <f aca="false">(SUMPRODUCT($B$49:$B$58,(AT49:AT58&gt;AU49:AU58)*1)+SUMPRODUCT($B$61:$B$68,(AT61:AT68&gt;AU61:AU68)*1)+SUMPRODUCT($B$71:$B$74,(AT71:AT74&gt;AU71:AU74)*1)+SUMPRODUCT($B$77:$B$78,(AT77:AT78&gt;AU77:AU78)*1)+SUMPRODUCT($B$99:$B$104,(AT99:AT104&gt;AU99:AU104)*1))*$B$20/52</f>
        <v>0</v>
      </c>
      <c r="AV83" s="365" t="n">
        <f aca="false">(SUMPRODUCT($B$49:$B$58,(AU49:AU58&gt;AV49:AV58)*1)+SUMPRODUCT($B$61:$B$68,(AU61:AU68&gt;AV61:AV68)*1)+SUMPRODUCT($B$71:$B$74,(AU71:AU74&gt;AV71:AV74)*1)+SUMPRODUCT($B$77:$B$78,(AU77:AU78&gt;AV77:AV78)*1)+SUMPRODUCT($B$99:$B$104,(AU99:AU104&gt;AV99:AV104)*1))*$B$20/52</f>
        <v>0</v>
      </c>
      <c r="AW83" s="365" t="n">
        <f aca="false">(SUMPRODUCT($B$49:$B$58,(AV49:AV58&gt;AW49:AW58)*1)+SUMPRODUCT($B$61:$B$68,(AV61:AV68&gt;AW61:AW68)*1)+SUMPRODUCT($B$71:$B$74,(AV71:AV74&gt;AW71:AW74)*1)+SUMPRODUCT($B$77:$B$78,(AV77:AV78&gt;AW77:AW78)*1)+SUMPRODUCT($B$99:$B$104,(AV99:AV104&gt;AW99:AW104)*1))*$B$20/52</f>
        <v>0</v>
      </c>
      <c r="AX83" s="365" t="n">
        <f aca="false">(SUMPRODUCT($B$49:$B$58,(AW49:AW58&gt;AX49:AX58)*1)+SUMPRODUCT($B$61:$B$68,(AW61:AW68&gt;AX61:AX68)*1)+SUMPRODUCT($B$71:$B$74,(AW71:AW74&gt;AX71:AX74)*1)+SUMPRODUCT($B$77:$B$78,(AW77:AW78&gt;AX77:AX78)*1)+SUMPRODUCT($B$99:$B$104,(AW99:AW104&gt;AX99:AX104)*1))*$B$20/52</f>
        <v>0</v>
      </c>
      <c r="AY83" s="365" t="n">
        <f aca="false">(SUMPRODUCT($B$49:$B$58,(AX49:AX58&gt;AY49:AY58)*1)+SUMPRODUCT($B$61:$B$68,(AX61:AX68&gt;AY61:AY68)*1)+SUMPRODUCT($B$71:$B$74,(AX71:AX74&gt;AY71:AY74)*1)+SUMPRODUCT($B$77:$B$78,(AX77:AX78&gt;AY77:AY78)*1)+SUMPRODUCT($B$99:$B$104,(AX99:AX104&gt;AY99:AY104)*1))*$B$20/52</f>
        <v>0</v>
      </c>
      <c r="AZ83" s="365" t="n">
        <f aca="false">(SUMPRODUCT($B$49:$B$58,(AY49:AY58&gt;AZ49:AZ58)*1)+SUMPRODUCT($B$61:$B$68,(AY61:AY68&gt;AZ61:AZ68)*1)+SUMPRODUCT($B$71:$B$74,(AY71:AY74&gt;AZ71:AZ74)*1)+SUMPRODUCT($B$77:$B$78,(AY77:AY78&gt;AZ77:AZ78)*1)+SUMPRODUCT($B$99:$B$104,(AY99:AY104&gt;AZ99:AZ104)*1))*$B$20/52</f>
        <v>0</v>
      </c>
      <c r="BA83" s="365" t="n">
        <f aca="false">(SUMPRODUCT($B$49:$B$58,(AZ49:AZ58&gt;BA49:BA58)*1)+SUMPRODUCT($B$61:$B$68,(AZ61:AZ68&gt;BA61:BA68)*1)+SUMPRODUCT($B$71:$B$74,(AZ71:AZ74&gt;BA71:BA74)*1)+SUMPRODUCT($B$77:$B$78,(AZ77:AZ78&gt;BA77:BA78)*1)+SUMPRODUCT($B$99:$B$104,(AZ99:AZ104&gt;BA99:BA104)*1))*$B$20/52</f>
        <v>0</v>
      </c>
      <c r="BB83" s="365" t="n">
        <f aca="false">(SUMPRODUCT($B$49:$B$58,(BA49:BA58&gt;BB49:BB58)*1)+SUMPRODUCT($B$61:$B$68,(BA61:BA68&gt;BB61:BB68)*1)+SUMPRODUCT($B$71:$B$74,(BA71:BA74&gt;BB71:BB74)*1)+SUMPRODUCT($B$77:$B$78,(BA77:BA78&gt;BB77:BB78)*1)+SUMPRODUCT($B$99:$B$104,(BA99:BA104&gt;BB99:BB104)*1))*$B$20/52</f>
        <v>0</v>
      </c>
      <c r="BC83" s="365" t="n">
        <f aca="false">(SUMPRODUCT($B$49:$B$58,(BB49:BB58&gt;BC49:BC58)*1)+SUMPRODUCT($B$61:$B$68,(BB61:BB68&gt;BC61:BC68)*1)+SUMPRODUCT($B$71:$B$74,(BB71:BB74&gt;BC71:BC74)*1)+SUMPRODUCT($B$77:$B$78,(BB77:BB78&gt;BC77:BC78)*1)+SUMPRODUCT($B$99:$B$104,(BB99:BB104&gt;BC99:BC104)*1))*$B$20/52</f>
        <v>0</v>
      </c>
      <c r="BD83" s="365" t="n">
        <f aca="false">(SUMPRODUCT($B$49:$B$58,(BC49:BC58&gt;BD49:BD58)*1)+SUMPRODUCT($B$61:$B$68,(BC61:BC68&gt;BD61:BD68)*1)+SUMPRODUCT($B$71:$B$74,(BC71:BC74&gt;BD71:BD74)*1)+SUMPRODUCT($B$77:$B$78,(BC77:BC78&gt;BD77:BD78)*1)+SUMPRODUCT($B$99:$B$104,(BC99:BC104&gt;BD99:BD104)*1))*$B$20/52</f>
        <v>0</v>
      </c>
      <c r="BE83" s="365" t="n">
        <f aca="false">(SUMPRODUCT($B$49:$B$58,(BD49:BD58&gt;BE49:BE58)*1)+SUMPRODUCT($B$61:$B$68,(BD61:BD68&gt;BE61:BE68)*1)+SUMPRODUCT($B$71:$B$74,(BD71:BD74&gt;BE71:BE74)*1)+SUMPRODUCT($B$77:$B$78,(BD77:BD78&gt;BE77:BE78)*1)+SUMPRODUCT($B$99:$B$104,(BD99:BD104&gt;BE99:BE104)*1))*$B$20/52</f>
        <v>0</v>
      </c>
      <c r="BF83" s="365" t="n">
        <f aca="false">(SUMPRODUCT($B$49:$B$58,(BE49:BE58&gt;BF49:BF58)*1)+SUMPRODUCT($B$61:$B$68,(BE61:BE68&gt;BF61:BF68)*1)+SUMPRODUCT($B$71:$B$74,(BE71:BE74&gt;BF71:BF74)*1)+SUMPRODUCT($B$77:$B$78,(BE77:BE78&gt;BF77:BF78)*1)+SUMPRODUCT($B$99:$B$104,(BE99:BE104&gt;BF99:BF104)*1))*$B$20/52</f>
        <v>0</v>
      </c>
      <c r="BG83" s="365" t="n">
        <f aca="false">(SUMPRODUCT($B$49:$B$58,(BF49:BF58&gt;BG49:BG58)*1)+SUMPRODUCT($B$61:$B$68,(BF61:BF68&gt;BG61:BG68)*1)+SUMPRODUCT($B$71:$B$74,(BF71:BF74&gt;BG71:BG74)*1)+SUMPRODUCT($B$77:$B$78,(BF77:BF78&gt;BG77:BG78)*1)+SUMPRODUCT($B$99:$B$104,(BF99:BF104&gt;BG99:BG104)*1))*$B$20/52</f>
        <v>0</v>
      </c>
      <c r="BH83" s="365" t="n">
        <f aca="false">(SUMPRODUCT($B$49:$B$58,(BG49:BG58&gt;BH49:BH58)*1)+SUMPRODUCT($B$61:$B$68,(BG61:BG68&gt;BH61:BH68)*1)+SUMPRODUCT($B$71:$B$74,(BG71:BG74&gt;BH71:BH74)*1)+SUMPRODUCT($B$77:$B$78,(BG77:BG78&gt;BH77:BH78)*1)+SUMPRODUCT($B$99:$B$104,(BG99:BG104&gt;BH99:BH104)*1))*$B$20/52</f>
        <v>0</v>
      </c>
      <c r="BI83" s="365" t="n">
        <f aca="false">(SUMPRODUCT($B$49:$B$58,(BH49:BH58&gt;BI49:BI58)*1)+SUMPRODUCT($B$61:$B$68,(BH61:BH68&gt;BI61:BI68)*1)+SUMPRODUCT($B$71:$B$74,(BH71:BH74&gt;BI71:BI74)*1)+SUMPRODUCT($B$77:$B$78,(BH77:BH78&gt;BI77:BI78)*1)+SUMPRODUCT($B$99:$B$104,(BH99:BH104&gt;BI99:BI104)*1))*$B$20/52</f>
        <v>0</v>
      </c>
      <c r="BJ83" s="365" t="n">
        <f aca="false">(SUMPRODUCT($B$49:$B$58,(BI49:BI58&gt;BJ49:BJ58)*1)+SUMPRODUCT($B$61:$B$68,(BI61:BI68&gt;BJ61:BJ68)*1)+SUMPRODUCT($B$71:$B$74,(BI71:BI74&gt;BJ71:BJ74)*1)+SUMPRODUCT($B$77:$B$78,(BI77:BI78&gt;BJ77:BJ78)*1)+SUMPRODUCT($B$99:$B$104,(BI99:BI104&gt;BJ99:BJ104)*1))*$B$20/52</f>
        <v>0</v>
      </c>
      <c r="BK83" s="365" t="n">
        <f aca="false">(SUMPRODUCT($B$49:$B$58,(BJ49:BJ58&gt;BK49:BK58)*1)+SUMPRODUCT($B$61:$B$68,(BJ61:BJ68&gt;BK61:BK68)*1)+SUMPRODUCT($B$71:$B$74,(BJ71:BJ74&gt;BK71:BK74)*1)+SUMPRODUCT($B$77:$B$78,(BJ77:BJ78&gt;BK77:BK78)*1)+SUMPRODUCT($B$99:$B$104,(BJ99:BJ104&gt;BK99:BK104)*1))*$B$20/52</f>
        <v>0</v>
      </c>
      <c r="BL83" s="365" t="n">
        <f aca="false">(SUMPRODUCT($B$49:$B$58,(BK49:BK58&gt;BL49:BL58)*1)+SUMPRODUCT($B$61:$B$68,(BK61:BK68&gt;BL61:BL68)*1)+SUMPRODUCT($B$71:$B$74,(BK71:BK74&gt;BL71:BL74)*1)+SUMPRODUCT($B$77:$B$78,(BK77:BK78&gt;BL77:BL78)*1)+SUMPRODUCT($B$99:$B$104,(BK99:BK104&gt;BL99:BL104)*1))*$B$20/52</f>
        <v>0</v>
      </c>
      <c r="BM83" s="365" t="n">
        <f aca="false">(SUMPRODUCT($B$49:$B$58,(BL49:BL58&gt;BM49:BM58)*1)+SUMPRODUCT($B$61:$B$68,(BL61:BL68&gt;BM61:BM68)*1)+SUMPRODUCT($B$71:$B$74,(BL71:BL74&gt;BM71:BM74)*1)+SUMPRODUCT($B$77:$B$78,(BL77:BL78&gt;BM77:BM78)*1)+SUMPRODUCT($B$99:$B$104,(BL99:BL104&gt;BM99:BM104)*1))*$B$20/52</f>
        <v>0</v>
      </c>
      <c r="BN83" s="365" t="n">
        <f aca="false">(SUMPRODUCT($B$49:$B$58,(BM49:BM58&gt;BN49:BN58)*1)+SUMPRODUCT($B$61:$B$68,(BM61:BM68&gt;BN61:BN68)*1)+SUMPRODUCT($B$71:$B$74,(BM71:BM74&gt;BN71:BN74)*1)+SUMPRODUCT($B$77:$B$78,(BM77:BM78&gt;BN77:BN78)*1)+SUMPRODUCT($B$99:$B$104,(BM99:BM104&gt;BN99:BN104)*1))*$B$20/52</f>
        <v>0</v>
      </c>
      <c r="BO83" s="365" t="n">
        <f aca="false">(SUMPRODUCT($B$49:$B$58,(BN49:BN58&gt;BO49:BO58)*1)+SUMPRODUCT($B$61:$B$68,(BN61:BN68&gt;BO61:BO68)*1)+SUMPRODUCT($B$71:$B$74,(BN71:BN74&gt;BO71:BO74)*1)+SUMPRODUCT($B$77:$B$78,(BN77:BN78&gt;BO77:BO78)*1)+SUMPRODUCT($B$99:$B$104,(BN99:BN104&gt;BO99:BO104)*1))*$B$20/52</f>
        <v>0</v>
      </c>
      <c r="BP83" s="365" t="n">
        <f aca="false">(SUMPRODUCT($B$49:$B$58,(BO49:BO58&gt;BP49:BP58)*1)+SUMPRODUCT($B$61:$B$68,(BO61:BO68&gt;BP61:BP68)*1)+SUMPRODUCT($B$71:$B$74,(BO71:BO74&gt;BP71:BP74)*1)+SUMPRODUCT($B$77:$B$78,(BO77:BO78&gt;BP77:BP78)*1)+SUMPRODUCT($B$99:$B$104,(BO99:BO104&gt;BP99:BP104)*1))*$B$20/52</f>
        <v>0</v>
      </c>
      <c r="BQ83" s="365" t="n">
        <f aca="false">(SUMPRODUCT($B$49:$B$58,(BP49:BP58&gt;BQ49:BQ58)*1)+SUMPRODUCT($B$61:$B$68,(BP61:BP68&gt;BQ61:BQ68)*1)+SUMPRODUCT($B$71:$B$74,(BP71:BP74&gt;BQ71:BQ74)*1)+SUMPRODUCT($B$77:$B$78,(BP77:BP78&gt;BQ77:BQ78)*1)+SUMPRODUCT($B$99:$B$104,(BP99:BP104&gt;BQ99:BQ104)*1))*$B$20/52</f>
        <v>0</v>
      </c>
      <c r="BR83" s="365" t="n">
        <f aca="false">(SUMPRODUCT($B$49:$B$58,(BQ49:BQ58&gt;BR49:BR58)*1)+SUMPRODUCT($B$61:$B$68,(BQ61:BQ68&gt;BR61:BR68)*1)+SUMPRODUCT($B$71:$B$74,(BQ71:BQ74&gt;BR71:BR74)*1)+SUMPRODUCT($B$77:$B$78,(BQ77:BQ78&gt;BR77:BR78)*1)+SUMPRODUCT($B$99:$B$104,(BQ99:BQ104&gt;BR99:BR104)*1))*$B$20/52</f>
        <v>0</v>
      </c>
      <c r="BS83" s="365" t="n">
        <f aca="false">(SUMPRODUCT($B$49:$B$58,(BR49:BR58&gt;BS49:BS58)*1)+SUMPRODUCT($B$61:$B$68,(BR61:BR68&gt;BS61:BS68)*1)+SUMPRODUCT($B$71:$B$74,(BR71:BR74&gt;BS71:BS74)*1)+SUMPRODUCT($B$77:$B$78,(BR77:BR78&gt;BS77:BS78)*1)+SUMPRODUCT($B$99:$B$104,(BR99:BR104&gt;BS99:BS104)*1))*$B$20/52</f>
        <v>0</v>
      </c>
      <c r="BT83" s="365" t="n">
        <f aca="false">(SUMPRODUCT($B$49:$B$58,(BS49:BS58&gt;BT49:BT58)*1)+SUMPRODUCT($B$61:$B$68,(BS61:BS68&gt;BT61:BT68)*1)+SUMPRODUCT($B$71:$B$74,(BS71:BS74&gt;BT71:BT74)*1)+SUMPRODUCT($B$77:$B$78,(BS77:BS78&gt;BT77:BT78)*1)+SUMPRODUCT($B$99:$B$104,(BS99:BS104&gt;BT99:BT104)*1))*$B$20/52</f>
        <v>0</v>
      </c>
      <c r="BU83" s="365" t="n">
        <f aca="false">(SUMPRODUCT($B$49:$B$58,(BT49:BT58&gt;BU49:BU58)*1)+SUMPRODUCT($B$61:$B$68,(BT61:BT68&gt;BU61:BU68)*1)+SUMPRODUCT($B$71:$B$74,(BT71:BT74&gt;BU71:BU74)*1)+SUMPRODUCT($B$77:$B$78,(BT77:BT78&gt;BU77:BU78)*1)+SUMPRODUCT($B$99:$B$104,(BT99:BT104&gt;BU99:BU104)*1))*$B$20/52</f>
        <v>0</v>
      </c>
      <c r="BV83" s="365" t="n">
        <f aca="false">(SUMPRODUCT($B$49:$B$58,(BU49:BU58&gt;BV49:BV58)*1)+SUMPRODUCT($B$61:$B$68,(BU61:BU68&gt;BV61:BV68)*1)+SUMPRODUCT($B$71:$B$74,(BU71:BU74&gt;BV71:BV74)*1)+SUMPRODUCT($B$77:$B$78,(BU77:BU78&gt;BV77:BV78)*1)+SUMPRODUCT($B$99:$B$104,(BU99:BU104&gt;BV99:BV104)*1))*$B$20/52</f>
        <v>0</v>
      </c>
      <c r="BW83" s="365" t="n">
        <f aca="false">(SUMPRODUCT($B$49:$B$58,(BV49:BV58&gt;BW49:BW58)*1)+SUMPRODUCT($B$61:$B$68,(BV61:BV68&gt;BW61:BW68)*1)+SUMPRODUCT($B$71:$B$74,(BV71:BV74&gt;BW71:BW74)*1)+SUMPRODUCT($B$77:$B$78,(BV77:BV78&gt;BW77:BW78)*1)+SUMPRODUCT($B$99:$B$104,(BV99:BV104&gt;BW99:BW104)*1))*$B$20/52</f>
        <v>0</v>
      </c>
      <c r="BX83" s="365" t="n">
        <f aca="false">(SUMPRODUCT($B$49:$B$58,(BW49:BW58&gt;BX49:BX58)*1)+SUMPRODUCT($B$61:$B$68,(BW61:BW68&gt;BX61:BX68)*1)+SUMPRODUCT($B$71:$B$74,(BW71:BW74&gt;BX71:BX74)*1)+SUMPRODUCT($B$77:$B$78,(BW77:BW78&gt;BX77:BX78)*1)+SUMPRODUCT($B$99:$B$104,(BW99:BW104&gt;BX99:BX104)*1))*$B$20/52</f>
        <v>0</v>
      </c>
      <c r="BY83" s="365" t="n">
        <f aca="false">(SUMPRODUCT($B$49:$B$58,(BX49:BX58&gt;BY49:BY58)*1)+SUMPRODUCT($B$61:$B$68,(BX61:BX68&gt;BY61:BY68)*1)+SUMPRODUCT($B$71:$B$74,(BX71:BX74&gt;BY71:BY74)*1)+SUMPRODUCT($B$77:$B$78,(BX77:BX78&gt;BY77:BY78)*1)+SUMPRODUCT($B$99:$B$104,(BX99:BX104&gt;BY99:BY104)*1))*$B$20/52</f>
        <v>0</v>
      </c>
      <c r="BZ83" s="365" t="n">
        <f aca="false">(SUMPRODUCT($B$49:$B$58,(BY49:BY58&gt;BZ49:BZ58)*1)+SUMPRODUCT($B$61:$B$68,(BY61:BY68&gt;BZ61:BZ68)*1)+SUMPRODUCT($B$71:$B$74,(BY71:BY74&gt;BZ71:BZ74)*1)+SUMPRODUCT($B$77:$B$78,(BY77:BY78&gt;BZ77:BZ78)*1)+SUMPRODUCT($B$99:$B$104,(BY99:BY104&gt;BZ99:BZ104)*1))*$B$20/52</f>
        <v>0</v>
      </c>
      <c r="CA83" s="365" t="n">
        <f aca="false">(SUMPRODUCT($B$49:$B$58,(BZ49:BZ58&gt;CA49:CA58)*1)+SUMPRODUCT($B$61:$B$68,(BZ61:BZ68&gt;CA61:CA68)*1)+SUMPRODUCT($B$71:$B$74,(BZ71:BZ74&gt;CA71:CA74)*1)+SUMPRODUCT($B$77:$B$78,(BZ77:BZ78&gt;CA77:CA78)*1)+SUMPRODUCT($B$99:$B$104,(BZ99:BZ104&gt;CA99:CA104)*1))*$B$20/52</f>
        <v>0</v>
      </c>
      <c r="CB83" s="365" t="n">
        <f aca="false">(SUMPRODUCT($B$49:$B$58,(CA49:CA58&gt;CB49:CB58)*1)+SUMPRODUCT($B$61:$B$68,(CA61:CA68&gt;CB61:CB68)*1)+SUMPRODUCT($B$71:$B$74,(CA71:CA74&gt;CB71:CB74)*1)+SUMPRODUCT($B$77:$B$78,(CA77:CA78&gt;CB77:CB78)*1)+SUMPRODUCT($B$99:$B$104,(CA99:CA104&gt;CB99:CB104)*1))*$B$20/52</f>
        <v>0</v>
      </c>
      <c r="CC83" s="365" t="n">
        <f aca="false">(SUMPRODUCT($B$49:$B$58,(CB49:CB58&gt;CC49:CC58)*1)+SUMPRODUCT($B$61:$B$68,(CB61:CB68&gt;CC61:CC68)*1)+SUMPRODUCT($B$71:$B$74,(CB71:CB74&gt;CC71:CC74)*1)+SUMPRODUCT($B$77:$B$78,(CB77:CB78&gt;CC77:CC78)*1)+SUMPRODUCT($B$99:$B$104,(CB99:CB104&gt;CC99:CC104)*1))*$B$20/52</f>
        <v>0</v>
      </c>
      <c r="CD83" s="365" t="n">
        <f aca="false">(SUMPRODUCT($B$49:$B$58,(CC49:CC58&gt;CD49:CD58)*1)+SUMPRODUCT($B$61:$B$68,(CC61:CC68&gt;CD61:CD68)*1)+SUMPRODUCT($B$71:$B$74,(CC71:CC74&gt;CD71:CD74)*1)+SUMPRODUCT($B$77:$B$78,(CC77:CC78&gt;CD77:CD78)*1)+SUMPRODUCT($B$99:$B$104,(CC99:CC104&gt;CD99:CD104)*1))*$B$20/52</f>
        <v>0</v>
      </c>
      <c r="CE83" s="365" t="n">
        <f aca="false">(SUMPRODUCT($B$49:$B$58,(CD49:CD58&gt;CE49:CE58)*1)+SUMPRODUCT($B$61:$B$68,(CD61:CD68&gt;CE61:CE68)*1)+SUMPRODUCT($B$71:$B$74,(CD71:CD74&gt;CE71:CE74)*1)+SUMPRODUCT($B$77:$B$78,(CD77:CD78&gt;CE77:CE78)*1)+SUMPRODUCT($B$99:$B$104,(CD99:CD104&gt;CE99:CE104)*1))*$B$20/52</f>
        <v>0</v>
      </c>
      <c r="CF83" s="365" t="n">
        <f aca="false">(SUMPRODUCT($B$49:$B$58,(CE49:CE58&gt;CF49:CF58)*1)+SUMPRODUCT($B$61:$B$68,(CE61:CE68&gt;CF61:CF68)*1)+SUMPRODUCT($B$71:$B$74,(CE71:CE74&gt;CF71:CF74)*1)+SUMPRODUCT($B$77:$B$78,(CE77:CE78&gt;CF77:CF78)*1)+SUMPRODUCT($B$99:$B$104,(CE99:CE104&gt;CF99:CF104)*1))*$B$20/52</f>
        <v>0</v>
      </c>
      <c r="CG83" s="365" t="n">
        <f aca="false">(SUMPRODUCT($B$49:$B$58,(CF49:CF58&gt;CG49:CG58)*1)+SUMPRODUCT($B$61:$B$68,(CF61:CF68&gt;CG61:CG68)*1)+SUMPRODUCT($B$71:$B$74,(CF71:CF74&gt;CG71:CG74)*1)+SUMPRODUCT($B$77:$B$78,(CF77:CF78&gt;CG77:CG78)*1)+SUMPRODUCT($B$99:$B$104,(CF99:CF104&gt;CG99:CG104)*1))*$B$20/52</f>
        <v>0</v>
      </c>
      <c r="CH83" s="365" t="n">
        <f aca="false">(SUMPRODUCT($B$49:$B$58,(CG49:CG58&gt;CH49:CH58)*1)+SUMPRODUCT($B$61:$B$68,(CG61:CG68&gt;CH61:CH68)*1)+SUMPRODUCT($B$71:$B$74,(CG71:CG74&gt;CH71:CH74)*1)+SUMPRODUCT($B$77:$B$78,(CG77:CG78&gt;CH77:CH78)*1)+SUMPRODUCT($B$99:$B$104,(CG99:CG104&gt;CH99:CH104)*1))*$B$20/52</f>
        <v>0</v>
      </c>
      <c r="CI83" s="365" t="n">
        <f aca="false">(SUMPRODUCT($B$49:$B$58,(CH49:CH58&gt;CI49:CI58)*1)+SUMPRODUCT($B$61:$B$68,(CH61:CH68&gt;CI61:CI68)*1)+SUMPRODUCT($B$71:$B$74,(CH71:CH74&gt;CI71:CI74)*1)+SUMPRODUCT($B$77:$B$78,(CH77:CH78&gt;CI77:CI78)*1)+SUMPRODUCT($B$99:$B$104,(CH99:CH104&gt;CI99:CI104)*1))*$B$20/52</f>
        <v>0</v>
      </c>
      <c r="CJ83" s="365" t="n">
        <f aca="false">(SUMPRODUCT($B$49:$B$58,(CI49:CI58&gt;CJ49:CJ58)*1)+SUMPRODUCT($B$61:$B$68,(CI61:CI68&gt;CJ61:CJ68)*1)+SUMPRODUCT($B$71:$B$74,(CI71:CI74&gt;CJ71:CJ74)*1)+SUMPRODUCT($B$77:$B$78,(CI77:CI78&gt;CJ77:CJ78)*1)+SUMPRODUCT($B$99:$B$104,(CI99:CI104&gt;CJ99:CJ104)*1))*$B$20/52</f>
        <v>0</v>
      </c>
      <c r="CK83" s="365" t="n">
        <f aca="false">(SUMPRODUCT($B$49:$B$58,(CJ49:CJ58&gt;CK49:CK58)*1)+SUMPRODUCT($B$61:$B$68,(CJ61:CJ68&gt;CK61:CK68)*1)+SUMPRODUCT($B$71:$B$74,(CJ71:CJ74&gt;CK71:CK74)*1)+SUMPRODUCT($B$77:$B$78,(CJ77:CJ78&gt;CK77:CK78)*1)+SUMPRODUCT($B$99:$B$104,(CJ99:CJ104&gt;CK99:CK104)*1))*$B$20/52</f>
        <v>0</v>
      </c>
      <c r="CL83" s="365" t="n">
        <f aca="false">(SUMPRODUCT($B$49:$B$58,(CK49:CK58&gt;CL49:CL58)*1)+SUMPRODUCT($B$61:$B$68,(CK61:CK68&gt;CL61:CL68)*1)+SUMPRODUCT($B$71:$B$74,(CK71:CK74&gt;CL71:CL74)*1)+SUMPRODUCT($B$77:$B$78,(CK77:CK78&gt;CL77:CL78)*1)+SUMPRODUCT($B$99:$B$104,(CK99:CK104&gt;CL99:CL104)*1))*$B$20/52</f>
        <v>0</v>
      </c>
      <c r="CM83" s="365" t="n">
        <f aca="false">(SUMPRODUCT($B$49:$B$58,(CL49:CL58&gt;CM49:CM58)*1)+SUMPRODUCT($B$61:$B$68,(CL61:CL68&gt;CM61:CM68)*1)+SUMPRODUCT($B$71:$B$74,(CL71:CL74&gt;CM71:CM74)*1)+SUMPRODUCT($B$77:$B$78,(CL77:CL78&gt;CM77:CM78)*1)+SUMPRODUCT($B$99:$B$104,(CL99:CL104&gt;CM99:CM104)*1))*$B$20/52</f>
        <v>0</v>
      </c>
      <c r="CN83" s="365" t="n">
        <f aca="false">(SUMPRODUCT($B$49:$B$58,(CM49:CM58&gt;CN49:CN58)*1)+SUMPRODUCT($B$61:$B$68,(CM61:CM68&gt;CN61:CN68)*1)+SUMPRODUCT($B$71:$B$74,(CM71:CM74&gt;CN71:CN74)*1)+SUMPRODUCT($B$77:$B$78,(CM77:CM78&gt;CN77:CN78)*1)+SUMPRODUCT($B$99:$B$104,(CM99:CM104&gt;CN99:CN104)*1))*$B$20/52</f>
        <v>0</v>
      </c>
      <c r="CO83" s="365" t="n">
        <f aca="false">(SUMPRODUCT($B$49:$B$58,(CN49:CN58&gt;CO49:CO58)*1)+SUMPRODUCT($B$61:$B$68,(CN61:CN68&gt;CO61:CO68)*1)+SUMPRODUCT($B$71:$B$74,(CN71:CN74&gt;CO71:CO74)*1)+SUMPRODUCT($B$77:$B$78,(CN77:CN78&gt;CO77:CO78)*1)+SUMPRODUCT($B$99:$B$104,(CN99:CN104&gt;CO99:CO104)*1))*$B$20/52</f>
        <v>0</v>
      </c>
      <c r="CP83" s="365" t="n">
        <f aca="false">(SUMPRODUCT($B$49:$B$58,(CO49:CO58&gt;CP49:CP58)*1)+SUMPRODUCT($B$61:$B$68,(CO61:CO68&gt;CP61:CP68)*1)+SUMPRODUCT($B$71:$B$74,(CO71:CO74&gt;CP71:CP74)*1)+SUMPRODUCT($B$77:$B$78,(CO77:CO78&gt;CP77:CP78)*1)+SUMPRODUCT($B$99:$B$104,(CO99:CO104&gt;CP99:CP104)*1))*$B$20/52</f>
        <v>0</v>
      </c>
      <c r="CQ83" s="365" t="n">
        <f aca="false">(SUMPRODUCT($B$49:$B$58,(CP49:CP58&gt;CQ49:CQ58)*1)+SUMPRODUCT($B$61:$B$68,(CP61:CP68&gt;CQ61:CQ68)*1)+SUMPRODUCT($B$71:$B$74,(CP71:CP74&gt;CQ71:CQ74)*1)+SUMPRODUCT($B$77:$B$78,(CP77:CP78&gt;CQ77:CQ78)*1)+SUMPRODUCT($B$99:$B$104,(CP99:CP104&gt;CQ99:CQ104)*1))*$B$20/52</f>
        <v>0</v>
      </c>
      <c r="CR83" s="365" t="n">
        <f aca="false">(SUMPRODUCT($B$49:$B$58,(CQ49:CQ58&gt;CR49:CR58)*1)+SUMPRODUCT($B$61:$B$68,(CQ61:CQ68&gt;CR61:CR68)*1)+SUMPRODUCT($B$71:$B$74,(CQ71:CQ74&gt;CR71:CR74)*1)+SUMPRODUCT($B$77:$B$78,(CQ77:CQ78&gt;CR77:CR78)*1)+SUMPRODUCT($B$99:$B$104,(CQ99:CQ104&gt;CR99:CR104)*1))*$B$20/52</f>
        <v>0</v>
      </c>
      <c r="CS83" s="365" t="n">
        <f aca="false">(SUMPRODUCT($B$49:$B$58,(CR49:CR58&gt;CS49:CS58)*1)+SUMPRODUCT($B$61:$B$68,(CR61:CR68&gt;CS61:CS68)*1)+SUMPRODUCT($B$71:$B$74,(CR71:CR74&gt;CS71:CS74)*1)+SUMPRODUCT($B$77:$B$78,(CR77:CR78&gt;CS77:CS78)*1)+SUMPRODUCT($B$99:$B$104,(CR99:CR104&gt;CS99:CS104)*1))*$B$20/52</f>
        <v>0</v>
      </c>
      <c r="CT83" s="365" t="n">
        <f aca="false">(SUMPRODUCT($B$49:$B$58,(CS49:CS58&gt;CT49:CT58)*1)+SUMPRODUCT($B$61:$B$68,(CS61:CS68&gt;CT61:CT68)*1)+SUMPRODUCT($B$71:$B$74,(CS71:CS74&gt;CT71:CT74)*1)+SUMPRODUCT($B$77:$B$78,(CS77:CS78&gt;CT77:CT78)*1)+SUMPRODUCT($B$99:$B$104,(CS99:CS104&gt;CT99:CT104)*1))*$B$20/52</f>
        <v>0</v>
      </c>
      <c r="CU83" s="365" t="n">
        <f aca="false">(SUMPRODUCT($B$49:$B$58,(CT49:CT58&gt;CU49:CU58)*1)+SUMPRODUCT($B$61:$B$68,(CT61:CT68&gt;CU61:CU68)*1)+SUMPRODUCT($B$71:$B$74,(CT71:CT74&gt;CU71:CU74)*1)+SUMPRODUCT($B$77:$B$78,(CT77:CT78&gt;CU77:CU78)*1)+SUMPRODUCT($B$99:$B$104,(CT99:CT104&gt;CU99:CU104)*1))*$B$20/52</f>
        <v>0</v>
      </c>
      <c r="CV83" s="365" t="n">
        <f aca="false">(SUMPRODUCT($B$49:$B$58,(CU49:CU58&gt;CV49:CV58)*1)+SUMPRODUCT($B$61:$B$68,(CU61:CU68&gt;CV61:CV68)*1)+SUMPRODUCT($B$71:$B$74,(CU71:CU74&gt;CV71:CV74)*1)+SUMPRODUCT($B$77:$B$78,(CU77:CU78&gt;CV77:CV78)*1)+SUMPRODUCT($B$99:$B$104,(CU99:CU104&gt;CV99:CV104)*1))*$B$20/52</f>
        <v>0</v>
      </c>
      <c r="CW83" s="365" t="n">
        <f aca="false">(SUMPRODUCT($B$49:$B$58,(CV49:CV58&gt;CW49:CW58)*1)+SUMPRODUCT($B$61:$B$68,(CV61:CV68&gt;CW61:CW68)*1)+SUMPRODUCT($B$71:$B$74,(CV71:CV74&gt;CW71:CW74)*1)+SUMPRODUCT($B$77:$B$78,(CV77:CV78&gt;CW77:CW78)*1)+SUMPRODUCT($B$99:$B$104,(CV99:CV104&gt;CW99:CW104)*1))*$B$20/52</f>
        <v>0</v>
      </c>
      <c r="CX83" s="365" t="n">
        <f aca="false">(SUMPRODUCT($B$49:$B$58,(CW49:CW58&gt;CX49:CX58)*1)+SUMPRODUCT($B$61:$B$68,(CW61:CW68&gt;CX61:CX68)*1)+SUMPRODUCT($B$71:$B$74,(CW71:CW74&gt;CX71:CX74)*1)+SUMPRODUCT($B$77:$B$78,(CW77:CW78&gt;CX77:CX78)*1)+SUMPRODUCT($B$99:$B$104,(CW99:CW104&gt;CX99:CX104)*1))*$B$20/52</f>
        <v>0</v>
      </c>
      <c r="CY83" s="365" t="n">
        <f aca="false">(SUMPRODUCT($B$49:$B$58,(CX49:CX58&gt;CY49:CY58)*1)+SUMPRODUCT($B$61:$B$68,(CX61:CX68&gt;CY61:CY68)*1)+SUMPRODUCT($B$71:$B$74,(CX71:CX74&gt;CY71:CY74)*1)+SUMPRODUCT($B$77:$B$78,(CX77:CX78&gt;CY77:CY78)*1)+SUMPRODUCT($B$99:$B$104,(CX99:CX104&gt;CY99:CY104)*1))*$B$20/52</f>
        <v>0</v>
      </c>
      <c r="CZ83" s="365" t="n">
        <f aca="false">(SUMPRODUCT($B$49:$B$58,(CY49:CY58&gt;CZ49:CZ58)*1)+SUMPRODUCT($B$61:$B$68,(CY61:CY68&gt;CZ61:CZ68)*1)+SUMPRODUCT($B$71:$B$74,(CY71:CY74&gt;CZ71:CZ74)*1)+SUMPRODUCT($B$77:$B$78,(CY77:CY78&gt;CZ77:CZ78)*1)+SUMPRODUCT($B$99:$B$104,(CY99:CY104&gt;CZ99:CZ104)*1))*$B$20/52</f>
        <v>0</v>
      </c>
      <c r="DA83" s="365" t="n">
        <f aca="false">(SUMPRODUCT($B$49:$B$58,(CZ49:CZ58&gt;DA49:DA58)*1)+SUMPRODUCT($B$61:$B$68,(CZ61:CZ68&gt;DA61:DA68)*1)+SUMPRODUCT($B$71:$B$74,(CZ71:CZ74&gt;DA71:DA74)*1)+SUMPRODUCT($B$77:$B$78,(CZ77:CZ78&gt;DA77:DA78)*1)+SUMPRODUCT($B$99:$B$104,(CZ99:CZ104&gt;DA99:DA104)*1))*$B$20/52</f>
        <v>0</v>
      </c>
      <c r="DB83" s="365" t="n">
        <f aca="false">(SUMPRODUCT($B$49:$B$58,(DA49:DA58&gt;DB49:DB58)*1)+SUMPRODUCT($B$61:$B$68,(DA61:DA68&gt;DB61:DB68)*1)+SUMPRODUCT($B$71:$B$74,(DA71:DA74&gt;DB71:DB74)*1)+SUMPRODUCT($B$77:$B$78,(DA77:DA78&gt;DB77:DB78)*1)+SUMPRODUCT($B$99:$B$104,(DA99:DA104&gt;DB99:DB104)*1))*$B$20/52</f>
        <v>0</v>
      </c>
      <c r="DC83" s="365" t="n">
        <f aca="false">(SUMPRODUCT($B$49:$B$58,(DB49:DB58&gt;DC49:DC58)*1)+SUMPRODUCT($B$61:$B$68,(DB61:DB68&gt;DC61:DC68)*1)+SUMPRODUCT($B$71:$B$74,(DB71:DB74&gt;DC71:DC74)*1)+SUMPRODUCT($B$77:$B$78,(DB77:DB78&gt;DC77:DC78)*1)+SUMPRODUCT($B$99:$B$104,(DB99:DB104&gt;DC99:DC104)*1))*$B$20/52</f>
        <v>0</v>
      </c>
      <c r="DD83" s="365" t="n">
        <f aca="false">(SUMPRODUCT($B$49:$B$58,(DC49:DC58&gt;DD49:DD58)*1)+SUMPRODUCT($B$61:$B$68,(DC61:DC68&gt;DD61:DD68)*1)+SUMPRODUCT($B$71:$B$74,(DC71:DC74&gt;DD71:DD74)*1)+SUMPRODUCT($B$77:$B$78,(DC77:DC78&gt;DD77:DD78)*1)+SUMPRODUCT($B$99:$B$104,(DC99:DC104&gt;DD99:DD104)*1))*$B$20/52</f>
        <v>0</v>
      </c>
      <c r="DE83" s="365"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1245</v>
      </c>
      <c r="E84" s="365" t="n">
        <f aca="false">E82+E83</f>
        <v>0</v>
      </c>
      <c r="F84" s="365" t="n">
        <f aca="false">F82+F83</f>
        <v>0</v>
      </c>
      <c r="G84" s="365" t="n">
        <f aca="false">G82+G83</f>
        <v>0</v>
      </c>
      <c r="H84" s="365" t="n">
        <f aca="false">H82+H83</f>
        <v>0</v>
      </c>
      <c r="I84" s="365" t="n">
        <f aca="false">I82+I83</f>
        <v>0</v>
      </c>
      <c r="J84" s="365" t="n">
        <f aca="false">J82+J83</f>
        <v>0</v>
      </c>
      <c r="K84" s="365" t="n">
        <f aca="false">K82+K83</f>
        <v>0</v>
      </c>
      <c r="L84" s="365" t="n">
        <f aca="false">L82+L83</f>
        <v>0</v>
      </c>
      <c r="M84" s="365" t="n">
        <f aca="false">M82+M83</f>
        <v>12000</v>
      </c>
      <c r="N84" s="365" t="n">
        <f aca="false">N82+N83</f>
        <v>0</v>
      </c>
      <c r="O84" s="365" t="n">
        <f aca="false">O82+O83</f>
        <v>9375</v>
      </c>
      <c r="P84" s="365" t="n">
        <f aca="false">P82+P83</f>
        <v>0</v>
      </c>
      <c r="Q84" s="365" t="n">
        <f aca="false">Q82+Q83</f>
        <v>0</v>
      </c>
      <c r="R84" s="365" t="n">
        <f aca="false">R82+R83</f>
        <v>0</v>
      </c>
      <c r="S84" s="365" t="n">
        <f aca="false">S82+S83</f>
        <v>43125</v>
      </c>
      <c r="T84" s="365" t="n">
        <f aca="false">T82+T83</f>
        <v>0</v>
      </c>
      <c r="U84" s="365" t="n">
        <f aca="false">U82+U83</f>
        <v>0</v>
      </c>
      <c r="V84" s="365" t="n">
        <f aca="false">V82+V83</f>
        <v>0</v>
      </c>
      <c r="W84" s="365" t="n">
        <f aca="false">W82+W83</f>
        <v>0</v>
      </c>
      <c r="X84" s="365" t="n">
        <f aca="false">X82+X83</f>
        <v>0</v>
      </c>
      <c r="Y84" s="365" t="n">
        <f aca="false">Y82+Y83</f>
        <v>0</v>
      </c>
      <c r="Z84" s="365" t="n">
        <f aca="false">Z82+Z83</f>
        <v>22307.6923076923</v>
      </c>
      <c r="AA84" s="365" t="n">
        <f aca="false">AA82+AA83</f>
        <v>0</v>
      </c>
      <c r="AB84" s="365" t="n">
        <f aca="false">AB82+AB83</f>
        <v>21923.0769230769</v>
      </c>
      <c r="AC84" s="365" t="n">
        <f aca="false">AC82+AC83</f>
        <v>0</v>
      </c>
      <c r="AD84" s="365" t="n">
        <f aca="false">AD82+AD83</f>
        <v>21923.0769230769</v>
      </c>
      <c r="AE84" s="365" t="n">
        <f aca="false">AE82+AE83</f>
        <v>0</v>
      </c>
      <c r="AF84" s="365" t="n">
        <f aca="false">AF82+AF83</f>
        <v>0</v>
      </c>
      <c r="AG84" s="365" t="n">
        <f aca="false">AG82+AG83</f>
        <v>0</v>
      </c>
      <c r="AH84" s="365" t="n">
        <f aca="false">AH82+AH83</f>
        <v>0</v>
      </c>
      <c r="AI84" s="365" t="n">
        <f aca="false">AI82+AI83</f>
        <v>0</v>
      </c>
      <c r="AJ84" s="365" t="n">
        <f aca="false">AJ82+AJ83</f>
        <v>0</v>
      </c>
      <c r="AK84" s="365" t="n">
        <f aca="false">AK82+AK83</f>
        <v>0</v>
      </c>
      <c r="AL84" s="365" t="n">
        <f aca="false">AL82+AL83</f>
        <v>0</v>
      </c>
      <c r="AM84" s="365" t="n">
        <f aca="false">AM82+AM83</f>
        <v>0</v>
      </c>
      <c r="AN84" s="365" t="n">
        <f aca="false">AN82+AN83</f>
        <v>0</v>
      </c>
      <c r="AO84" s="365" t="n">
        <f aca="false">AO82+AO83</f>
        <v>0</v>
      </c>
      <c r="AP84" s="365" t="n">
        <f aca="false">AP82+AP83</f>
        <v>0</v>
      </c>
      <c r="AQ84" s="365" t="n">
        <f aca="false">AQ82+AQ83</f>
        <v>0</v>
      </c>
      <c r="AR84" s="365" t="n">
        <f aca="false">AR82+AR83</f>
        <v>0</v>
      </c>
      <c r="AS84" s="365" t="n">
        <f aca="false">AS82+AS83</f>
        <v>0</v>
      </c>
      <c r="AT84" s="365" t="n">
        <f aca="false">AT82+AT83</f>
        <v>0</v>
      </c>
      <c r="AU84" s="365" t="n">
        <f aca="false">AU82+AU83</f>
        <v>0</v>
      </c>
      <c r="AV84" s="365" t="n">
        <f aca="false">AV82+AV83</f>
        <v>0</v>
      </c>
      <c r="AW84" s="365" t="n">
        <f aca="false">AW82+AW83</f>
        <v>0</v>
      </c>
      <c r="AX84" s="365" t="n">
        <f aca="false">AX82+AX83</f>
        <v>0</v>
      </c>
      <c r="AY84" s="365" t="n">
        <f aca="false">AY82+AY83</f>
        <v>0</v>
      </c>
      <c r="AZ84" s="365" t="n">
        <f aca="false">AZ82+AZ83</f>
        <v>0</v>
      </c>
      <c r="BA84" s="365" t="n">
        <f aca="false">BA82+BA83</f>
        <v>0</v>
      </c>
      <c r="BB84" s="365" t="n">
        <f aca="false">BB82+BB83</f>
        <v>0</v>
      </c>
      <c r="BC84" s="365" t="n">
        <f aca="false">BC82+BC83</f>
        <v>0</v>
      </c>
      <c r="BD84" s="365" t="n">
        <f aca="false">BD82+BD83</f>
        <v>0</v>
      </c>
      <c r="BE84" s="365" t="n">
        <f aca="false">BE82+BE83</f>
        <v>0</v>
      </c>
      <c r="BF84" s="365" t="n">
        <f aca="false">BF82+BF83</f>
        <v>0</v>
      </c>
      <c r="BG84" s="365" t="n">
        <f aca="false">BG82+BG83</f>
        <v>0</v>
      </c>
      <c r="BH84" s="365" t="n">
        <f aca="false">BH82+BH83</f>
        <v>0</v>
      </c>
      <c r="BI84" s="365" t="n">
        <f aca="false">BI82+BI83</f>
        <v>0</v>
      </c>
      <c r="BJ84" s="365" t="n">
        <f aca="false">BJ82+BJ83</f>
        <v>0</v>
      </c>
      <c r="BK84" s="365" t="n">
        <f aca="false">BK82+BK83</f>
        <v>0</v>
      </c>
      <c r="BL84" s="365" t="n">
        <f aca="false">BL82+BL83</f>
        <v>0</v>
      </c>
      <c r="BM84" s="365" t="n">
        <f aca="false">BM82+BM83</f>
        <v>0</v>
      </c>
      <c r="BN84" s="365" t="n">
        <f aca="false">BN82+BN83</f>
        <v>0</v>
      </c>
      <c r="BO84" s="365" t="n">
        <f aca="false">BO82+BO83</f>
        <v>0</v>
      </c>
      <c r="BP84" s="365" t="n">
        <f aca="false">BP82+BP83</f>
        <v>0</v>
      </c>
      <c r="BQ84" s="365" t="n">
        <f aca="false">BQ82+BQ83</f>
        <v>0</v>
      </c>
      <c r="BR84" s="365" t="n">
        <f aca="false">BR82+BR83</f>
        <v>0</v>
      </c>
      <c r="BS84" s="365" t="n">
        <f aca="false">BS82+BS83</f>
        <v>0</v>
      </c>
      <c r="BT84" s="365" t="n">
        <f aca="false">BT82+BT83</f>
        <v>0</v>
      </c>
      <c r="BU84" s="365" t="n">
        <f aca="false">BU82+BU83</f>
        <v>0</v>
      </c>
      <c r="BV84" s="365" t="n">
        <f aca="false">BV82+BV83</f>
        <v>0</v>
      </c>
      <c r="BW84" s="365" t="n">
        <f aca="false">BW82+BW83</f>
        <v>0</v>
      </c>
      <c r="BX84" s="365" t="n">
        <f aca="false">BX82+BX83</f>
        <v>0</v>
      </c>
      <c r="BY84" s="365" t="n">
        <f aca="false">BY82+BY83</f>
        <v>0</v>
      </c>
      <c r="BZ84" s="365" t="n">
        <f aca="false">BZ82+BZ83</f>
        <v>0</v>
      </c>
      <c r="CA84" s="365" t="n">
        <f aca="false">CA82+CA83</f>
        <v>0</v>
      </c>
      <c r="CB84" s="365" t="n">
        <f aca="false">CB82+CB83</f>
        <v>0</v>
      </c>
      <c r="CC84" s="365" t="n">
        <f aca="false">CC82+CC83</f>
        <v>0</v>
      </c>
      <c r="CD84" s="365" t="n">
        <f aca="false">CD82+CD83</f>
        <v>0</v>
      </c>
      <c r="CE84" s="365" t="n">
        <f aca="false">CE82+CE83</f>
        <v>0</v>
      </c>
      <c r="CF84" s="365" t="n">
        <f aca="false">CF82+CF83</f>
        <v>0</v>
      </c>
      <c r="CG84" s="365" t="n">
        <f aca="false">CG82+CG83</f>
        <v>0</v>
      </c>
      <c r="CH84" s="365" t="n">
        <f aca="false">CH82+CH83</f>
        <v>0</v>
      </c>
      <c r="CI84" s="365" t="n">
        <f aca="false">CI82+CI83</f>
        <v>0</v>
      </c>
      <c r="CJ84" s="365" t="n">
        <f aca="false">CJ82+CJ83</f>
        <v>0</v>
      </c>
      <c r="CK84" s="365" t="n">
        <f aca="false">CK82+CK83</f>
        <v>0</v>
      </c>
      <c r="CL84" s="365" t="n">
        <f aca="false">CL82+CL83</f>
        <v>0</v>
      </c>
      <c r="CM84" s="365" t="n">
        <f aca="false">CM82+CM83</f>
        <v>0</v>
      </c>
      <c r="CN84" s="365" t="n">
        <f aca="false">CN82+CN83</f>
        <v>0</v>
      </c>
      <c r="CO84" s="365" t="n">
        <f aca="false">CO82+CO83</f>
        <v>0</v>
      </c>
      <c r="CP84" s="365" t="n">
        <f aca="false">CP82+CP83</f>
        <v>0</v>
      </c>
      <c r="CQ84" s="365" t="n">
        <f aca="false">CQ82+CQ83</f>
        <v>0</v>
      </c>
      <c r="CR84" s="365" t="n">
        <f aca="false">CR82+CR83</f>
        <v>0</v>
      </c>
      <c r="CS84" s="365" t="n">
        <f aca="false">CS82+CS83</f>
        <v>0</v>
      </c>
      <c r="CT84" s="365" t="n">
        <f aca="false">CT82+CT83</f>
        <v>0</v>
      </c>
      <c r="CU84" s="365" t="n">
        <f aca="false">CU82+CU83</f>
        <v>0</v>
      </c>
      <c r="CV84" s="365" t="n">
        <f aca="false">CV82+CV83</f>
        <v>0</v>
      </c>
      <c r="CW84" s="365" t="n">
        <f aca="false">CW82+CW83</f>
        <v>0</v>
      </c>
      <c r="CX84" s="365" t="n">
        <f aca="false">CX82+CX83</f>
        <v>0</v>
      </c>
      <c r="CY84" s="365" t="n">
        <f aca="false">CY82+CY83</f>
        <v>0</v>
      </c>
      <c r="CZ84" s="365" t="n">
        <f aca="false">CZ82+CZ83</f>
        <v>0</v>
      </c>
      <c r="DA84" s="365" t="n">
        <f aca="false">DA82+DA83</f>
        <v>0</v>
      </c>
      <c r="DB84" s="365" t="n">
        <f aca="false">DB82+DB83</f>
        <v>0</v>
      </c>
      <c r="DC84" s="365" t="n">
        <f aca="false">DC82+DC83</f>
        <v>0</v>
      </c>
      <c r="DD84" s="365" t="n">
        <f aca="false">DD82+DD83</f>
        <v>0</v>
      </c>
      <c r="DE84" s="365" t="n">
        <f aca="false">DE82+DE83</f>
        <v>0</v>
      </c>
    </row>
    <row r="86" customFormat="false" ht="13.5" hidden="false" customHeight="true" outlineLevel="0" collapsed="false">
      <c r="A86" s="221" t="s">
        <v>1246</v>
      </c>
      <c r="B86" s="222"/>
      <c r="C86" s="222"/>
      <c r="D86" s="222"/>
      <c r="E86" s="222"/>
      <c r="F86" s="222"/>
    </row>
    <row r="87" customFormat="false" ht="13.5" hidden="false" customHeight="true" outlineLevel="0" collapsed="false">
      <c r="A87" s="109" t="s">
        <v>1247</v>
      </c>
      <c r="E87" s="363" t="n">
        <f aca="false">E43+SUM(E49:E58)</f>
        <v>4</v>
      </c>
      <c r="F87" s="363" t="n">
        <f aca="false">F43+SUM(F49:F58)</f>
        <v>5</v>
      </c>
      <c r="G87" s="363" t="n">
        <f aca="false">G43+SUM(G49:G58)</f>
        <v>5</v>
      </c>
      <c r="H87" s="363" t="n">
        <f aca="false">H43+SUM(H49:H58)</f>
        <v>6</v>
      </c>
      <c r="I87" s="363" t="n">
        <f aca="false">I43+SUM(I49:I58)</f>
        <v>6</v>
      </c>
      <c r="J87" s="363" t="n">
        <f aca="false">J43+SUM(J49:J58)</f>
        <v>7</v>
      </c>
      <c r="K87" s="363" t="n">
        <f aca="false">K43+SUM(K49:K58)</f>
        <v>7</v>
      </c>
      <c r="L87" s="363" t="n">
        <f aca="false">L43+SUM(L49:L58)</f>
        <v>7</v>
      </c>
      <c r="M87" s="363" t="n">
        <f aca="false">M43+SUM(M49:M58)</f>
        <v>8</v>
      </c>
      <c r="N87" s="363" t="n">
        <f aca="false">N43+SUM(N49:N58)</f>
        <v>8</v>
      </c>
      <c r="O87" s="363" t="n">
        <f aca="false">O43+SUM(O49:O58)</f>
        <v>8</v>
      </c>
      <c r="P87" s="363" t="n">
        <f aca="false">P43+SUM(P49:P58)</f>
        <v>8</v>
      </c>
      <c r="Q87" s="363" t="n">
        <f aca="false">Q43+SUM(Q49:Q58)</f>
        <v>8</v>
      </c>
      <c r="R87" s="363" t="n">
        <f aca="false">R43+SUM(R49:R58)</f>
        <v>8</v>
      </c>
      <c r="S87" s="363" t="n">
        <f aca="false">S43+SUM(S49:S58)</f>
        <v>10</v>
      </c>
      <c r="T87" s="363" t="n">
        <f aca="false">T43+SUM(T49:T58)</f>
        <v>10</v>
      </c>
      <c r="U87" s="363" t="n">
        <f aca="false">U43+SUM(U49:U58)</f>
        <v>10</v>
      </c>
      <c r="V87" s="363" t="n">
        <f aca="false">V43+SUM(V49:V58)</f>
        <v>10</v>
      </c>
      <c r="W87" s="363" t="n">
        <f aca="false">W43+SUM(W49:W58)</f>
        <v>10</v>
      </c>
      <c r="X87" s="363" t="n">
        <f aca="false">X43+SUM(X49:X58)</f>
        <v>10</v>
      </c>
      <c r="Y87" s="363" t="n">
        <f aca="false">Y43+SUM(Y49:Y58)</f>
        <v>10</v>
      </c>
      <c r="Z87" s="363" t="n">
        <f aca="false">Z43+SUM(Z49:Z58)</f>
        <v>9</v>
      </c>
      <c r="AA87" s="363" t="n">
        <f aca="false">AA43+SUM(AA49:AA58)</f>
        <v>9</v>
      </c>
      <c r="AB87" s="363" t="n">
        <f aca="false">AB43+SUM(AB49:AB58)</f>
        <v>8</v>
      </c>
      <c r="AC87" s="363" t="n">
        <f aca="false">AC43+SUM(AC49:AC58)</f>
        <v>8</v>
      </c>
      <c r="AD87" s="363" t="n">
        <f aca="false">AD43+SUM(AD49:AD58)</f>
        <v>7</v>
      </c>
      <c r="AE87" s="363" t="n">
        <f aca="false">AE43+SUM(AE49:AE58)</f>
        <v>7</v>
      </c>
      <c r="AF87" s="363" t="n">
        <f aca="false">AF43+SUM(AF49:AF58)</f>
        <v>7</v>
      </c>
      <c r="AG87" s="363" t="n">
        <f aca="false">AG43+SUM(AG49:AG58)</f>
        <v>7</v>
      </c>
      <c r="AH87" s="363" t="n">
        <f aca="false">AH43+SUM(AH49:AH58)</f>
        <v>7</v>
      </c>
      <c r="AI87" s="363" t="n">
        <f aca="false">AI43+SUM(AI49:AI58)</f>
        <v>7</v>
      </c>
      <c r="AJ87" s="363" t="n">
        <f aca="false">AJ43+SUM(AJ49:AJ58)</f>
        <v>7</v>
      </c>
      <c r="AK87" s="363" t="n">
        <f aca="false">AK43+SUM(AK49:AK58)</f>
        <v>7</v>
      </c>
      <c r="AL87" s="363" t="n">
        <f aca="false">AL43+SUM(AL49:AL58)</f>
        <v>7</v>
      </c>
      <c r="AM87" s="363" t="n">
        <f aca="false">AM43+SUM(AM49:AM58)</f>
        <v>7</v>
      </c>
      <c r="AN87" s="363" t="n">
        <f aca="false">AN43+SUM(AN49:AN58)</f>
        <v>7</v>
      </c>
      <c r="AO87" s="363" t="n">
        <f aca="false">AO43+SUM(AO49:AO58)</f>
        <v>7</v>
      </c>
      <c r="AP87" s="363" t="n">
        <f aca="false">AP43+SUM(AP49:AP58)</f>
        <v>7</v>
      </c>
      <c r="AQ87" s="363" t="n">
        <f aca="false">AQ43+SUM(AQ49:AQ58)</f>
        <v>7</v>
      </c>
      <c r="AR87" s="363" t="n">
        <f aca="false">AR43+SUM(AR49:AR58)</f>
        <v>7</v>
      </c>
      <c r="AS87" s="363" t="n">
        <f aca="false">AS43+SUM(AS49:AS58)</f>
        <v>7</v>
      </c>
      <c r="AT87" s="363" t="n">
        <f aca="false">AT43+SUM(AT49:AT58)</f>
        <v>7</v>
      </c>
      <c r="AU87" s="363" t="n">
        <f aca="false">AU43+SUM(AU49:AU58)</f>
        <v>7</v>
      </c>
      <c r="AV87" s="363" t="n">
        <f aca="false">AV43+SUM(AV49:AV58)</f>
        <v>7</v>
      </c>
      <c r="AW87" s="363" t="n">
        <f aca="false">AW43+SUM(AW49:AW58)</f>
        <v>7</v>
      </c>
      <c r="AX87" s="363" t="n">
        <f aca="false">AX43+SUM(AX49:AX58)</f>
        <v>7</v>
      </c>
      <c r="AY87" s="363" t="n">
        <f aca="false">AY43+SUM(AY49:AY58)</f>
        <v>7</v>
      </c>
      <c r="AZ87" s="363" t="n">
        <f aca="false">AZ43+SUM(AZ49:AZ58)</f>
        <v>7</v>
      </c>
      <c r="BA87" s="363" t="n">
        <f aca="false">BA43+SUM(BA49:BA58)</f>
        <v>7</v>
      </c>
      <c r="BB87" s="363" t="n">
        <f aca="false">BB43+SUM(BB49:BB58)</f>
        <v>7</v>
      </c>
      <c r="BC87" s="363" t="n">
        <f aca="false">BC43+SUM(BC49:BC58)</f>
        <v>7</v>
      </c>
      <c r="BD87" s="363" t="n">
        <f aca="false">BD43+SUM(BD49:BD58)</f>
        <v>7</v>
      </c>
      <c r="BE87" s="363" t="n">
        <f aca="false">BE43+SUM(BE49:BE58)</f>
        <v>7</v>
      </c>
      <c r="BF87" s="363" t="n">
        <f aca="false">BF43+SUM(BF49:BF58)</f>
        <v>7</v>
      </c>
      <c r="BG87" s="363" t="n">
        <f aca="false">BG43+SUM(BG49:BG58)</f>
        <v>7</v>
      </c>
      <c r="BH87" s="363" t="n">
        <f aca="false">BH43+SUM(BH49:BH58)</f>
        <v>7</v>
      </c>
      <c r="BI87" s="363" t="n">
        <f aca="false">BI43+SUM(BI49:BI58)</f>
        <v>7</v>
      </c>
      <c r="BJ87" s="363" t="n">
        <f aca="false">BJ43+SUM(BJ49:BJ58)</f>
        <v>7</v>
      </c>
      <c r="BK87" s="363" t="n">
        <f aca="false">BK43+SUM(BK49:BK58)</f>
        <v>7</v>
      </c>
      <c r="BL87" s="363" t="n">
        <f aca="false">BL43+SUM(BL49:BL58)</f>
        <v>7</v>
      </c>
      <c r="BM87" s="363" t="n">
        <f aca="false">BM43+SUM(BM49:BM58)</f>
        <v>7</v>
      </c>
      <c r="BN87" s="363" t="n">
        <f aca="false">BN43+SUM(BN49:BN58)</f>
        <v>7</v>
      </c>
      <c r="BO87" s="363" t="n">
        <f aca="false">BO43+SUM(BO49:BO58)</f>
        <v>7</v>
      </c>
      <c r="BP87" s="363" t="n">
        <f aca="false">BP43+SUM(BP49:BP58)</f>
        <v>7</v>
      </c>
      <c r="BQ87" s="363" t="n">
        <f aca="false">BQ43+SUM(BQ49:BQ58)</f>
        <v>7</v>
      </c>
      <c r="BR87" s="363" t="n">
        <f aca="false">BR43+SUM(BR49:BR58)</f>
        <v>7</v>
      </c>
      <c r="BS87" s="363" t="n">
        <f aca="false">BS43+SUM(BS49:BS58)</f>
        <v>7</v>
      </c>
      <c r="BT87" s="363" t="n">
        <f aca="false">BT43+SUM(BT49:BT58)</f>
        <v>7</v>
      </c>
      <c r="BU87" s="363" t="n">
        <f aca="false">BU43+SUM(BU49:BU58)</f>
        <v>7</v>
      </c>
      <c r="BV87" s="363" t="n">
        <f aca="false">BV43+SUM(BV49:BV58)</f>
        <v>7</v>
      </c>
      <c r="BW87" s="363" t="n">
        <f aca="false">BW43+SUM(BW49:BW58)</f>
        <v>7</v>
      </c>
      <c r="BX87" s="363" t="n">
        <f aca="false">BX43+SUM(BX49:BX58)</f>
        <v>7</v>
      </c>
      <c r="BY87" s="363" t="n">
        <f aca="false">BY43+SUM(BY49:BY58)</f>
        <v>7</v>
      </c>
      <c r="BZ87" s="363" t="n">
        <f aca="false">BZ43+SUM(BZ49:BZ58)</f>
        <v>7</v>
      </c>
      <c r="CA87" s="363" t="n">
        <f aca="false">CA43+SUM(CA49:CA58)</f>
        <v>7</v>
      </c>
      <c r="CB87" s="363" t="n">
        <f aca="false">CB43+SUM(CB49:CB58)</f>
        <v>7</v>
      </c>
      <c r="CC87" s="363" t="n">
        <f aca="false">CC43+SUM(CC49:CC58)</f>
        <v>7</v>
      </c>
      <c r="CD87" s="363" t="n">
        <f aca="false">CD43+SUM(CD49:CD58)</f>
        <v>7</v>
      </c>
      <c r="CE87" s="363" t="n">
        <f aca="false">CE43+SUM(CE49:CE58)</f>
        <v>7</v>
      </c>
      <c r="CF87" s="363" t="n">
        <f aca="false">CF43+SUM(CF49:CF58)</f>
        <v>7</v>
      </c>
      <c r="CG87" s="363" t="n">
        <f aca="false">CG43+SUM(CG49:CG58)</f>
        <v>7</v>
      </c>
      <c r="CH87" s="363" t="n">
        <f aca="false">CH43+SUM(CH49:CH58)</f>
        <v>7</v>
      </c>
      <c r="CI87" s="363" t="n">
        <f aca="false">CI43+SUM(CI49:CI58)</f>
        <v>7</v>
      </c>
      <c r="CJ87" s="363" t="n">
        <f aca="false">CJ43+SUM(CJ49:CJ58)</f>
        <v>7</v>
      </c>
      <c r="CK87" s="363" t="n">
        <f aca="false">CK43+SUM(CK49:CK58)</f>
        <v>7</v>
      </c>
      <c r="CL87" s="363" t="n">
        <f aca="false">CL43+SUM(CL49:CL58)</f>
        <v>7</v>
      </c>
      <c r="CM87" s="363" t="n">
        <f aca="false">CM43+SUM(CM49:CM58)</f>
        <v>7</v>
      </c>
      <c r="CN87" s="363" t="n">
        <f aca="false">CN43+SUM(CN49:CN58)</f>
        <v>7</v>
      </c>
      <c r="CO87" s="363" t="n">
        <f aca="false">CO43+SUM(CO49:CO58)</f>
        <v>7</v>
      </c>
      <c r="CP87" s="363" t="n">
        <f aca="false">CP43+SUM(CP49:CP58)</f>
        <v>7</v>
      </c>
      <c r="CQ87" s="363" t="n">
        <f aca="false">CQ43+SUM(CQ49:CQ58)</f>
        <v>7</v>
      </c>
      <c r="CR87" s="363" t="n">
        <f aca="false">CR43+SUM(CR49:CR58)</f>
        <v>7</v>
      </c>
      <c r="CS87" s="363" t="n">
        <f aca="false">CS43+SUM(CS49:CS58)</f>
        <v>7</v>
      </c>
      <c r="CT87" s="363" t="n">
        <f aca="false">CT43+SUM(CT49:CT58)</f>
        <v>7</v>
      </c>
      <c r="CU87" s="363" t="n">
        <f aca="false">CU43+SUM(CU49:CU58)</f>
        <v>7</v>
      </c>
      <c r="CV87" s="363" t="n">
        <f aca="false">CV43+SUM(CV49:CV58)</f>
        <v>7</v>
      </c>
      <c r="CW87" s="363" t="n">
        <f aca="false">CW43+SUM(CW49:CW58)</f>
        <v>7</v>
      </c>
      <c r="CX87" s="363" t="n">
        <f aca="false">CX43+SUM(CX49:CX58)</f>
        <v>7</v>
      </c>
      <c r="CY87" s="363" t="n">
        <f aca="false">CY43+SUM(CY49:CY58)</f>
        <v>7</v>
      </c>
      <c r="CZ87" s="363" t="n">
        <f aca="false">CZ43+SUM(CZ49:CZ58)</f>
        <v>7</v>
      </c>
      <c r="DA87" s="363" t="n">
        <f aca="false">DA43+SUM(DA49:DA58)</f>
        <v>7</v>
      </c>
      <c r="DB87" s="363" t="n">
        <f aca="false">DB43+SUM(DB49:DB58)</f>
        <v>7</v>
      </c>
      <c r="DC87" s="363" t="n">
        <f aca="false">DC43+SUM(DC49:DC58)</f>
        <v>7</v>
      </c>
      <c r="DD87" s="363" t="n">
        <f aca="false">DD43+SUM(DD49:DD58)</f>
        <v>7</v>
      </c>
      <c r="DE87" s="363" t="n">
        <f aca="false">DE43+SUM(DE49:DE58)</f>
        <v>7</v>
      </c>
    </row>
    <row r="88" customFormat="false" ht="13.5" hidden="false" customHeight="true" outlineLevel="0" collapsed="false">
      <c r="A88" s="109" t="s">
        <v>1248</v>
      </c>
      <c r="E88" s="363" t="n">
        <f aca="false">E37-E87</f>
        <v>1</v>
      </c>
      <c r="F88" s="363" t="n">
        <f aca="false">F37-F87</f>
        <v>0</v>
      </c>
      <c r="G88" s="363" t="n">
        <f aca="false">G37-G87</f>
        <v>0</v>
      </c>
      <c r="H88" s="363" t="n">
        <f aca="false">H37-H87</f>
        <v>-1</v>
      </c>
      <c r="I88" s="363" t="n">
        <f aca="false">I37-I87</f>
        <v>1</v>
      </c>
      <c r="J88" s="363" t="n">
        <f aca="false">J37-J87</f>
        <v>1</v>
      </c>
      <c r="K88" s="363" t="n">
        <f aca="false">K37-K87</f>
        <v>1</v>
      </c>
      <c r="L88" s="363" t="n">
        <f aca="false">L37-L87</f>
        <v>1</v>
      </c>
      <c r="M88" s="363" t="n">
        <f aca="false">M37-M87</f>
        <v>0</v>
      </c>
      <c r="N88" s="363" t="n">
        <f aca="false">N37-N87</f>
        <v>1</v>
      </c>
      <c r="O88" s="363" t="n">
        <f aca="false">O37-O87</f>
        <v>2</v>
      </c>
      <c r="P88" s="363" t="n">
        <f aca="false">P37-P87</f>
        <v>2</v>
      </c>
      <c r="Q88" s="363" t="n">
        <f aca="false">Q37-Q87</f>
        <v>2</v>
      </c>
      <c r="R88" s="363" t="n">
        <f aca="false">R37-R87</f>
        <v>2</v>
      </c>
      <c r="S88" s="363" t="n">
        <f aca="false">S37-S87</f>
        <v>2</v>
      </c>
      <c r="T88" s="363" t="n">
        <f aca="false">T37-T87</f>
        <v>1</v>
      </c>
      <c r="U88" s="363" t="n">
        <f aca="false">U37-U87</f>
        <v>1</v>
      </c>
      <c r="V88" s="363" t="n">
        <f aca="false">V37-V87</f>
        <v>0</v>
      </c>
      <c r="W88" s="363" t="n">
        <f aca="false">W37-W87</f>
        <v>-1</v>
      </c>
      <c r="X88" s="363" t="n">
        <f aca="false">X37-X87</f>
        <v>-2</v>
      </c>
      <c r="Y88" s="363" t="n">
        <f aca="false">Y37-Y87</f>
        <v>-2</v>
      </c>
      <c r="Z88" s="363" t="n">
        <f aca="false">Z37-Z87</f>
        <v>-1</v>
      </c>
      <c r="AA88" s="363" t="n">
        <f aca="false">AA37-AA87</f>
        <v>-1</v>
      </c>
      <c r="AB88" s="363" t="n">
        <f aca="false">AB37-AB87</f>
        <v>-1</v>
      </c>
      <c r="AC88" s="363" t="n">
        <f aca="false">AC37-AC87</f>
        <v>-2</v>
      </c>
      <c r="AD88" s="363" t="n">
        <f aca="false">AD37-AD87</f>
        <v>-1</v>
      </c>
      <c r="AE88" s="363" t="n">
        <f aca="false">AE37-AE87</f>
        <v>-1</v>
      </c>
      <c r="AF88" s="363" t="n">
        <f aca="false">AF37-AF87</f>
        <v>-1</v>
      </c>
      <c r="AG88" s="363" t="n">
        <f aca="false">AG37-AG87</f>
        <v>-3</v>
      </c>
      <c r="AH88" s="363" t="n">
        <f aca="false">AH37-AH87</f>
        <v>-4</v>
      </c>
      <c r="AI88" s="363" t="n">
        <f aca="false">AI37-AI87</f>
        <v>-4</v>
      </c>
      <c r="AJ88" s="363" t="n">
        <f aca="false">AJ37-AJ87</f>
        <v>-4</v>
      </c>
      <c r="AK88" s="363" t="n">
        <f aca="false">AK37-AK87</f>
        <v>-4</v>
      </c>
      <c r="AL88" s="363" t="n">
        <f aca="false">AL37-AL87</f>
        <v>-4</v>
      </c>
      <c r="AM88" s="363" t="n">
        <f aca="false">AM37-AM87</f>
        <v>-4</v>
      </c>
      <c r="AN88" s="363" t="n">
        <f aca="false">AN37-AN87</f>
        <v>-4</v>
      </c>
      <c r="AO88" s="363" t="n">
        <f aca="false">AO37-AO87</f>
        <v>-5</v>
      </c>
      <c r="AP88" s="363" t="n">
        <f aca="false">AP37-AP87</f>
        <v>-5</v>
      </c>
      <c r="AQ88" s="363" t="n">
        <f aca="false">AQ37-AQ87</f>
        <v>-6</v>
      </c>
      <c r="AR88" s="363" t="n">
        <f aca="false">AR37-AR87</f>
        <v>-6</v>
      </c>
      <c r="AS88" s="363" t="n">
        <f aca="false">AS37-AS87</f>
        <v>-6</v>
      </c>
      <c r="AT88" s="363" t="n">
        <f aca="false">AT37-AT87</f>
        <v>-6</v>
      </c>
      <c r="AU88" s="363" t="n">
        <f aca="false">AU37-AU87</f>
        <v>-6</v>
      </c>
      <c r="AV88" s="363" t="n">
        <f aca="false">AV37-AV87</f>
        <v>-6</v>
      </c>
      <c r="AW88" s="363" t="n">
        <f aca="false">AW37-AW87</f>
        <v>-7</v>
      </c>
      <c r="AX88" s="363" t="n">
        <f aca="false">AX37-AX87</f>
        <v>-7</v>
      </c>
      <c r="AY88" s="363" t="n">
        <f aca="false">AY37-AY87</f>
        <v>-7</v>
      </c>
      <c r="AZ88" s="363" t="n">
        <f aca="false">AZ37-AZ87</f>
        <v>-7</v>
      </c>
      <c r="BA88" s="363" t="n">
        <f aca="false">BA37-BA87</f>
        <v>-7</v>
      </c>
      <c r="BB88" s="363" t="n">
        <f aca="false">BB37-BB87</f>
        <v>-7</v>
      </c>
      <c r="BC88" s="363" t="n">
        <f aca="false">BC37-BC87</f>
        <v>-7</v>
      </c>
      <c r="BD88" s="363" t="n">
        <f aca="false">BD37-BD87</f>
        <v>-7</v>
      </c>
      <c r="BE88" s="363" t="n">
        <f aca="false">BE37-BE87</f>
        <v>-7</v>
      </c>
      <c r="BF88" s="363" t="n">
        <f aca="false">BF37-BF87</f>
        <v>-7</v>
      </c>
      <c r="BG88" s="363" t="n">
        <f aca="false">BG37-BG87</f>
        <v>-7</v>
      </c>
      <c r="BH88" s="363" t="n">
        <f aca="false">BH37-BH87</f>
        <v>-7</v>
      </c>
      <c r="BI88" s="363" t="n">
        <f aca="false">BI37-BI87</f>
        <v>-7</v>
      </c>
      <c r="BJ88" s="363" t="n">
        <f aca="false">BJ37-BJ87</f>
        <v>-7</v>
      </c>
      <c r="BK88" s="363" t="n">
        <f aca="false">BK37-BK87</f>
        <v>-7</v>
      </c>
      <c r="BL88" s="363" t="n">
        <f aca="false">BL37-BL87</f>
        <v>-7</v>
      </c>
      <c r="BM88" s="363" t="n">
        <f aca="false">BM37-BM87</f>
        <v>-7</v>
      </c>
      <c r="BN88" s="363" t="n">
        <f aca="false">BN37-BN87</f>
        <v>-7</v>
      </c>
      <c r="BO88" s="363" t="n">
        <f aca="false">BO37-BO87</f>
        <v>-7</v>
      </c>
      <c r="BP88" s="363" t="n">
        <f aca="false">BP37-BP87</f>
        <v>-7</v>
      </c>
      <c r="BQ88" s="363" t="n">
        <f aca="false">BQ37-BQ87</f>
        <v>-7</v>
      </c>
      <c r="BR88" s="363" t="n">
        <f aca="false">BR37-BR87</f>
        <v>-7</v>
      </c>
      <c r="BS88" s="363" t="n">
        <f aca="false">BS37-BS87</f>
        <v>-7</v>
      </c>
      <c r="BT88" s="363" t="n">
        <f aca="false">BT37-BT87</f>
        <v>-7</v>
      </c>
      <c r="BU88" s="363" t="n">
        <f aca="false">BU37-BU87</f>
        <v>-7</v>
      </c>
      <c r="BV88" s="363" t="n">
        <f aca="false">BV37-BV87</f>
        <v>-7</v>
      </c>
      <c r="BW88" s="363" t="n">
        <f aca="false">BW37-BW87</f>
        <v>-7</v>
      </c>
      <c r="BX88" s="363" t="n">
        <f aca="false">BX37-BX87</f>
        <v>-7</v>
      </c>
      <c r="BY88" s="363" t="n">
        <f aca="false">BY37-BY87</f>
        <v>-7</v>
      </c>
      <c r="BZ88" s="363" t="n">
        <f aca="false">BZ37-BZ87</f>
        <v>-7</v>
      </c>
      <c r="CA88" s="363" t="n">
        <f aca="false">CA37-CA87</f>
        <v>-7</v>
      </c>
      <c r="CB88" s="363" t="n">
        <f aca="false">CB37-CB87</f>
        <v>-7</v>
      </c>
      <c r="CC88" s="363" t="n">
        <f aca="false">CC37-CC87</f>
        <v>-7</v>
      </c>
      <c r="CD88" s="363" t="n">
        <f aca="false">CD37-CD87</f>
        <v>-7</v>
      </c>
      <c r="CE88" s="363" t="n">
        <f aca="false">CE37-CE87</f>
        <v>-7</v>
      </c>
      <c r="CF88" s="363" t="n">
        <f aca="false">CF37-CF87</f>
        <v>-7</v>
      </c>
      <c r="CG88" s="363" t="n">
        <f aca="false">CG37-CG87</f>
        <v>-7</v>
      </c>
      <c r="CH88" s="363" t="n">
        <f aca="false">CH37-CH87</f>
        <v>-7</v>
      </c>
      <c r="CI88" s="363" t="n">
        <f aca="false">CI37-CI87</f>
        <v>-7</v>
      </c>
      <c r="CJ88" s="363" t="n">
        <f aca="false">CJ37-CJ87</f>
        <v>-7</v>
      </c>
      <c r="CK88" s="363" t="n">
        <f aca="false">CK37-CK87</f>
        <v>-7</v>
      </c>
      <c r="CL88" s="363" t="n">
        <f aca="false">CL37-CL87</f>
        <v>-7</v>
      </c>
      <c r="CM88" s="363" t="n">
        <f aca="false">CM37-CM87</f>
        <v>-7</v>
      </c>
      <c r="CN88" s="363" t="n">
        <f aca="false">CN37-CN87</f>
        <v>-7</v>
      </c>
      <c r="CO88" s="363" t="n">
        <f aca="false">CO37-CO87</f>
        <v>-7</v>
      </c>
      <c r="CP88" s="363" t="n">
        <f aca="false">CP37-CP87</f>
        <v>-7</v>
      </c>
      <c r="CQ88" s="363" t="n">
        <f aca="false">CQ37-CQ87</f>
        <v>-7</v>
      </c>
      <c r="CR88" s="363" t="n">
        <f aca="false">CR37-CR87</f>
        <v>-7</v>
      </c>
      <c r="CS88" s="363" t="n">
        <f aca="false">CS37-CS87</f>
        <v>-7</v>
      </c>
      <c r="CT88" s="363" t="n">
        <f aca="false">CT37-CT87</f>
        <v>-7</v>
      </c>
      <c r="CU88" s="363" t="n">
        <f aca="false">CU37-CU87</f>
        <v>-7</v>
      </c>
      <c r="CV88" s="363" t="n">
        <f aca="false">CV37-CV87</f>
        <v>-7</v>
      </c>
      <c r="CW88" s="363" t="n">
        <f aca="false">CW37-CW87</f>
        <v>-7</v>
      </c>
      <c r="CX88" s="363" t="n">
        <f aca="false">CX37-CX87</f>
        <v>-7</v>
      </c>
      <c r="CY88" s="363" t="n">
        <f aca="false">CY37-CY87</f>
        <v>-7</v>
      </c>
      <c r="CZ88" s="363" t="n">
        <f aca="false">CZ37-CZ87</f>
        <v>-7</v>
      </c>
      <c r="DA88" s="363" t="n">
        <f aca="false">DA37-DA87</f>
        <v>-7</v>
      </c>
      <c r="DB88" s="363" t="n">
        <f aca="false">DB37-DB87</f>
        <v>-7</v>
      </c>
      <c r="DC88" s="363" t="n">
        <f aca="false">DC37-DC87</f>
        <v>-7</v>
      </c>
      <c r="DD88" s="363" t="n">
        <f aca="false">DD37-DD87</f>
        <v>-7</v>
      </c>
      <c r="DE88" s="363" t="n">
        <f aca="false">DE37-DE87</f>
        <v>-7</v>
      </c>
    </row>
    <row r="89" customFormat="false" ht="13.5" hidden="false" customHeight="true" outlineLevel="0" collapsed="false">
      <c r="A89" s="109" t="s">
        <v>1249</v>
      </c>
      <c r="E89" s="363" t="n">
        <f aca="false">(E87+E44+SUM(E61:E68)+E45+SUM(E71:E74))-(E38+E39+E40)</f>
        <v>0.945</v>
      </c>
      <c r="F89" s="363" t="n">
        <f aca="false">(F87+F44+SUM(F61:F68)+F45+SUM(F71:F74))-(F38+F39+F40)</f>
        <v>2.945</v>
      </c>
      <c r="G89" s="363" t="n">
        <f aca="false">(G87+G44+SUM(G61:G68)+G45+SUM(G71:G74))-(G38+G39+G40)</f>
        <v>2.945</v>
      </c>
      <c r="H89" s="363" t="n">
        <f aca="false">(H87+H44+SUM(H61:H68)+H45+SUM(H71:H74))-(H38+H39+H40)</f>
        <v>4.2775</v>
      </c>
      <c r="I89" s="363" t="n">
        <f aca="false">(I87+I44+SUM(I61:I68)+I45+SUM(I71:I74))-(I38+I39+I40)</f>
        <v>0.0775000000000006</v>
      </c>
      <c r="J89" s="363" t="n">
        <f aca="false">(J87+J44+SUM(J61:J68)+J45+SUM(J71:J74))-(J38+J39+J40)</f>
        <v>0.7525</v>
      </c>
      <c r="K89" s="363" t="n">
        <f aca="false">(K87+K44+SUM(K61:K68)+K45+SUM(K71:K74))-(K38+K39+K40)</f>
        <v>0.7525</v>
      </c>
      <c r="L89" s="363" t="n">
        <f aca="false">(L87+L44+SUM(L61:L68)+L45+SUM(L71:L74))-(L38+L39+L40)</f>
        <v>0.7525</v>
      </c>
      <c r="M89" s="363" t="n">
        <f aca="false">(M87+M44+SUM(M61:M68)+M45+SUM(M71:M74))-(M38+M39+M40)</f>
        <v>0.427499999999998</v>
      </c>
      <c r="N89" s="363" t="n">
        <f aca="false">(N87+N44+SUM(N61:N68)+N45+SUM(N71:N74))-(N38+N39+N40)</f>
        <v>0.0949999999999989</v>
      </c>
      <c r="O89" s="363" t="n">
        <f aca="false">(O87+O44+SUM(O61:O68)+O45+SUM(O71:O74))-(O38+O39+O40)</f>
        <v>-1.1125</v>
      </c>
      <c r="P89" s="363" t="n">
        <f aca="false">(P87+P44+SUM(P61:P68)+P45+SUM(P71:P74))-(P38+P39+P40)</f>
        <v>-1.1125</v>
      </c>
      <c r="Q89" s="363" t="n">
        <f aca="false">(Q87+Q44+SUM(Q61:Q68)+Q45+SUM(Q71:Q74))-(Q38+Q39+Q40)</f>
        <v>-0.887499999999999</v>
      </c>
      <c r="R89" s="363" t="n">
        <f aca="false">(R87+R44+SUM(R61:R68)+R45+SUM(R71:R74))-(R38+R39+R40)</f>
        <v>-0.6625</v>
      </c>
      <c r="S89" s="363" t="n">
        <f aca="false">(S87+S44+SUM(S61:S68)+S45+SUM(S71:S74))-(S38+S39+S40)</f>
        <v>-0.637499999999999</v>
      </c>
      <c r="T89" s="363" t="n">
        <f aca="false">(T87+T44+SUM(T61:T68)+T45+SUM(T71:T74))-(T38+T39+T40)</f>
        <v>-0.637499999999999</v>
      </c>
      <c r="U89" s="363" t="n">
        <f aca="false">(U87+U44+SUM(U61:U68)+U45+SUM(U71:U74))-(U38+U39+U40)</f>
        <v>0.57</v>
      </c>
      <c r="V89" s="363" t="n">
        <f aca="false">(V87+V44+SUM(V61:V68)+V45+SUM(V71:V74))-(V38+V39+V40)</f>
        <v>0.57</v>
      </c>
      <c r="W89" s="363" t="n">
        <f aca="false">(W87+W44+SUM(W61:W68)+W45+SUM(W71:W74))-(W38+W39+W40)</f>
        <v>1.895</v>
      </c>
      <c r="X89" s="363" t="n">
        <f aca="false">(X87+X44+SUM(X61:X68)+X45+SUM(X71:X74))-(X38+X39+X40)</f>
        <v>3.22</v>
      </c>
      <c r="Y89" s="363" t="n">
        <f aca="false">(Y87+Y44+SUM(Y61:Y68)+Y45+SUM(Y71:Y74))-(Y38+Y39+Y40)</f>
        <v>4.32</v>
      </c>
      <c r="Z89" s="363" t="n">
        <f aca="false">(Z87+Z44+SUM(Z61:Z68)+Z45+SUM(Z71:Z74))-(Z38+Z39+Z40)</f>
        <v>2.32</v>
      </c>
      <c r="AA89" s="363" t="n">
        <f aca="false">(AA87+AA44+SUM(AA61:AA68)+AA45+SUM(AA71:AA74))-(AA38+AA39+AA40)</f>
        <v>2.32</v>
      </c>
      <c r="AB89" s="363" t="n">
        <f aca="false">(AB87+AB44+SUM(AB61:AB68)+AB45+SUM(AB71:AB74))-(AB38+AB39+AB40)</f>
        <v>1.8775</v>
      </c>
      <c r="AC89" s="363" t="n">
        <f aca="false">(AC87+AC44+SUM(AC61:AC68)+AC45+SUM(AC71:AC74))-(AC38+AC39+AC40)</f>
        <v>3.31</v>
      </c>
      <c r="AD89" s="363" t="n">
        <f aca="false">(AD87+AD44+SUM(AD61:AD68)+AD45+SUM(AD71:AD74))-(AD38+AD39+AD40)</f>
        <v>3.41</v>
      </c>
      <c r="AE89" s="363" t="n">
        <f aca="false">(AE87+AE44+SUM(AE61:AE68)+AE45+SUM(AE71:AE74))-(AE38+AE39+AE40)</f>
        <v>3.41</v>
      </c>
      <c r="AF89" s="363" t="n">
        <f aca="false">(AF87+AF44+SUM(AF61:AF68)+AF45+SUM(AF71:AF74))-(AF38+AF39+AF40)</f>
        <v>3.41</v>
      </c>
      <c r="AG89" s="363" t="n">
        <f aca="false">(AG87+AG44+SUM(AG61:AG68)+AG45+SUM(AG71:AG74))-(AG38+AG39+AG40)</f>
        <v>3.41</v>
      </c>
      <c r="AH89" s="363" t="n">
        <f aca="false">(AH87+AH44+SUM(AH61:AH68)+AH45+SUM(AH71:AH74))-(AH38+AH39+AH40)</f>
        <v>5.7175</v>
      </c>
      <c r="AI89" s="363" t="n">
        <f aca="false">(AI87+AI44+SUM(AI61:AI68)+AI45+SUM(AI71:AI74))-(AI38+AI39+AI40)</f>
        <v>6.925</v>
      </c>
      <c r="AJ89" s="363" t="n">
        <f aca="false">(AJ87+AJ44+SUM(AJ61:AJ68)+AJ45+SUM(AJ71:AJ74))-(AJ38+AJ39+AJ40)</f>
        <v>7.425</v>
      </c>
      <c r="AK89" s="363" t="n">
        <f aca="false">(AK87+AK44+SUM(AK61:AK68)+AK45+SUM(AK71:AK74))-(AK38+AK39+AK40)</f>
        <v>7.425</v>
      </c>
      <c r="AL89" s="363" t="n">
        <f aca="false">(AL87+AL44+SUM(AL61:AL68)+AL45+SUM(AL71:AL74))-(AL38+AL39+AL40)</f>
        <v>7.65</v>
      </c>
      <c r="AM89" s="363" t="n">
        <f aca="false">(AM87+AM44+SUM(AM61:AM68)+AM45+SUM(AM71:AM74))-(AM38+AM39+AM40)</f>
        <v>7.65</v>
      </c>
      <c r="AN89" s="363" t="n">
        <f aca="false">(AN87+AN44+SUM(AN61:AN68)+AN45+SUM(AN71:AN74))-(AN38+AN39+AN40)</f>
        <v>7.65</v>
      </c>
      <c r="AO89" s="363" t="n">
        <f aca="false">(AO87+AO44+SUM(AO61:AO68)+AO45+SUM(AO71:AO74))-(AO38+AO39+AO40)</f>
        <v>7.65</v>
      </c>
      <c r="AP89" s="363" t="n">
        <f aca="false">(AP87+AP44+SUM(AP61:AP68)+AP45+SUM(AP71:AP74))-(AP38+AP39+AP40)</f>
        <v>9.025</v>
      </c>
      <c r="AQ89" s="363" t="n">
        <f aca="false">(AQ87+AQ44+SUM(AQ61:AQ68)+AQ45+SUM(AQ71:AQ74))-(AQ38+AQ39+AQ40)</f>
        <v>9.025</v>
      </c>
      <c r="AR89" s="363" t="n">
        <f aca="false">(AR87+AR44+SUM(AR61:AR68)+AR45+SUM(AR71:AR74))-(AR38+AR39+AR40)</f>
        <v>10.625</v>
      </c>
      <c r="AS89" s="363" t="n">
        <f aca="false">(AS87+AS44+SUM(AS61:AS68)+AS45+SUM(AS71:AS74))-(AS38+AS39+AS40)</f>
        <v>10.625</v>
      </c>
      <c r="AT89" s="363" t="n">
        <f aca="false">(AT87+AT44+SUM(AT61:AT68)+AT45+SUM(AT71:AT74))-(AT38+AT39+AT40)</f>
        <v>10.625</v>
      </c>
      <c r="AU89" s="363" t="n">
        <f aca="false">(AU87+AU44+SUM(AU61:AU68)+AU45+SUM(AU71:AU74))-(AU38+AU39+AU40)</f>
        <v>10.625</v>
      </c>
      <c r="AV89" s="363" t="n">
        <f aca="false">(AV87+AV44+SUM(AV61:AV68)+AV45+SUM(AV71:AV74))-(AV38+AV39+AV40)</f>
        <v>10.625</v>
      </c>
      <c r="AW89" s="363" t="n">
        <f aca="false">(AW87+AW44+SUM(AW61:AW68)+AW45+SUM(AW71:AW74))-(AW38+AW39+AW40)</f>
        <v>10.625</v>
      </c>
      <c r="AX89" s="363" t="n">
        <f aca="false">(AX87+AX44+SUM(AX61:AX68)+AX45+SUM(AX71:AX74))-(AX38+AX39+AX40)</f>
        <v>12</v>
      </c>
      <c r="AY89" s="363" t="n">
        <f aca="false">(AY87+AY44+SUM(AY61:AY68)+AY45+SUM(AY71:AY74))-(AY38+AY39+AY40)</f>
        <v>12</v>
      </c>
      <c r="AZ89" s="363" t="n">
        <f aca="false">(AZ87+AZ44+SUM(AZ61:AZ68)+AZ45+SUM(AZ71:AZ74))-(AZ38+AZ39+AZ40)</f>
        <v>12</v>
      </c>
      <c r="BA89" s="363" t="n">
        <f aca="false">(BA87+BA44+SUM(BA61:BA68)+BA45+SUM(BA71:BA74))-(BA38+BA39+BA40)</f>
        <v>12</v>
      </c>
      <c r="BB89" s="363" t="n">
        <f aca="false">(BB87+BB44+SUM(BB61:BB68)+BB45+SUM(BB71:BB74))-(BB38+BB39+BB40)</f>
        <v>12</v>
      </c>
      <c r="BC89" s="363" t="n">
        <f aca="false">(BC87+BC44+SUM(BC61:BC68)+BC45+SUM(BC71:BC74))-(BC38+BC39+BC40)</f>
        <v>12</v>
      </c>
      <c r="BD89" s="363" t="n">
        <f aca="false">(BD87+BD44+SUM(BD61:BD68)+BD45+SUM(BD71:BD74))-(BD38+BD39+BD40)</f>
        <v>12</v>
      </c>
      <c r="BE89" s="363" t="n">
        <f aca="false">(BE87+BE44+SUM(BE61:BE68)+BE45+SUM(BE71:BE74))-(BE38+BE39+BE40)</f>
        <v>12</v>
      </c>
      <c r="BF89" s="363" t="n">
        <f aca="false">(BF87+BF44+SUM(BF61:BF68)+BF45+SUM(BF71:BF74))-(BF38+BF39+BF40)</f>
        <v>12</v>
      </c>
      <c r="BG89" s="363" t="n">
        <f aca="false">(BG87+BG44+SUM(BG61:BG68)+BG45+SUM(BG71:BG74))-(BG38+BG39+BG40)</f>
        <v>12</v>
      </c>
      <c r="BH89" s="363" t="n">
        <f aca="false">(BH87+BH44+SUM(BH61:BH68)+BH45+SUM(BH71:BH74))-(BH38+BH39+BH40)</f>
        <v>12</v>
      </c>
      <c r="BI89" s="363" t="n">
        <f aca="false">(BI87+BI44+SUM(BI61:BI68)+BI45+SUM(BI71:BI74))-(BI38+BI39+BI40)</f>
        <v>12</v>
      </c>
      <c r="BJ89" s="363" t="n">
        <f aca="false">(BJ87+BJ44+SUM(BJ61:BJ68)+BJ45+SUM(BJ71:BJ74))-(BJ38+BJ39+BJ40)</f>
        <v>12</v>
      </c>
      <c r="BK89" s="363" t="n">
        <f aca="false">(BK87+BK44+SUM(BK61:BK68)+BK45+SUM(BK71:BK74))-(BK38+BK39+BK40)</f>
        <v>12</v>
      </c>
      <c r="BL89" s="363" t="n">
        <f aca="false">(BL87+BL44+SUM(BL61:BL68)+BL45+SUM(BL71:BL74))-(BL38+BL39+BL40)</f>
        <v>12</v>
      </c>
      <c r="BM89" s="363" t="n">
        <f aca="false">(BM87+BM44+SUM(BM61:BM68)+BM45+SUM(BM71:BM74))-(BM38+BM39+BM40)</f>
        <v>12</v>
      </c>
      <c r="BN89" s="363" t="n">
        <f aca="false">(BN87+BN44+SUM(BN61:BN68)+BN45+SUM(BN71:BN74))-(BN38+BN39+BN40)</f>
        <v>12</v>
      </c>
      <c r="BO89" s="363" t="n">
        <f aca="false">(BO87+BO44+SUM(BO61:BO68)+BO45+SUM(BO71:BO74))-(BO38+BO39+BO40)</f>
        <v>12</v>
      </c>
      <c r="BP89" s="363" t="n">
        <f aca="false">(BP87+BP44+SUM(BP61:BP68)+BP45+SUM(BP71:BP74))-(BP38+BP39+BP40)</f>
        <v>12</v>
      </c>
      <c r="BQ89" s="363" t="n">
        <f aca="false">(BQ87+BQ44+SUM(BQ61:BQ68)+BQ45+SUM(BQ71:BQ74))-(BQ38+BQ39+BQ40)</f>
        <v>12</v>
      </c>
      <c r="BR89" s="363" t="n">
        <f aca="false">(BR87+BR44+SUM(BR61:BR68)+BR45+SUM(BR71:BR74))-(BR38+BR39+BR40)</f>
        <v>12</v>
      </c>
      <c r="BS89" s="363" t="n">
        <f aca="false">(BS87+BS44+SUM(BS61:BS68)+BS45+SUM(BS71:BS74))-(BS38+BS39+BS40)</f>
        <v>12</v>
      </c>
      <c r="BT89" s="363" t="n">
        <f aca="false">(BT87+BT44+SUM(BT61:BT68)+BT45+SUM(BT71:BT74))-(BT38+BT39+BT40)</f>
        <v>12</v>
      </c>
      <c r="BU89" s="363" t="n">
        <f aca="false">(BU87+BU44+SUM(BU61:BU68)+BU45+SUM(BU71:BU74))-(BU38+BU39+BU40)</f>
        <v>12</v>
      </c>
      <c r="BV89" s="363" t="n">
        <f aca="false">(BV87+BV44+SUM(BV61:BV68)+BV45+SUM(BV71:BV74))-(BV38+BV39+BV40)</f>
        <v>12</v>
      </c>
      <c r="BW89" s="363" t="n">
        <f aca="false">(BW87+BW44+SUM(BW61:BW68)+BW45+SUM(BW71:BW74))-(BW38+BW39+BW40)</f>
        <v>12</v>
      </c>
      <c r="BX89" s="363" t="n">
        <f aca="false">(BX87+BX44+SUM(BX61:BX68)+BX45+SUM(BX71:BX74))-(BX38+BX39+BX40)</f>
        <v>12</v>
      </c>
      <c r="BY89" s="363" t="n">
        <f aca="false">(BY87+BY44+SUM(BY61:BY68)+BY45+SUM(BY71:BY74))-(BY38+BY39+BY40)</f>
        <v>12</v>
      </c>
      <c r="BZ89" s="363" t="n">
        <f aca="false">(BZ87+BZ44+SUM(BZ61:BZ68)+BZ45+SUM(BZ71:BZ74))-(BZ38+BZ39+BZ40)</f>
        <v>12</v>
      </c>
      <c r="CA89" s="363" t="n">
        <f aca="false">(CA87+CA44+SUM(CA61:CA68)+CA45+SUM(CA71:CA74))-(CA38+CA39+CA40)</f>
        <v>12</v>
      </c>
      <c r="CB89" s="363" t="n">
        <f aca="false">(CB87+CB44+SUM(CB61:CB68)+CB45+SUM(CB71:CB74))-(CB38+CB39+CB40)</f>
        <v>12</v>
      </c>
      <c r="CC89" s="363" t="n">
        <f aca="false">(CC87+CC44+SUM(CC61:CC68)+CC45+SUM(CC71:CC74))-(CC38+CC39+CC40)</f>
        <v>12</v>
      </c>
      <c r="CD89" s="363" t="n">
        <f aca="false">(CD87+CD44+SUM(CD61:CD68)+CD45+SUM(CD71:CD74))-(CD38+CD39+CD40)</f>
        <v>12</v>
      </c>
      <c r="CE89" s="363" t="n">
        <f aca="false">(CE87+CE44+SUM(CE61:CE68)+CE45+SUM(CE71:CE74))-(CE38+CE39+CE40)</f>
        <v>12</v>
      </c>
      <c r="CF89" s="363" t="n">
        <f aca="false">(CF87+CF44+SUM(CF61:CF68)+CF45+SUM(CF71:CF74))-(CF38+CF39+CF40)</f>
        <v>12</v>
      </c>
      <c r="CG89" s="363" t="n">
        <f aca="false">(CG87+CG44+SUM(CG61:CG68)+CG45+SUM(CG71:CG74))-(CG38+CG39+CG40)</f>
        <v>12</v>
      </c>
      <c r="CH89" s="363" t="n">
        <f aca="false">(CH87+CH44+SUM(CH61:CH68)+CH45+SUM(CH71:CH74))-(CH38+CH39+CH40)</f>
        <v>12</v>
      </c>
      <c r="CI89" s="363" t="n">
        <f aca="false">(CI87+CI44+SUM(CI61:CI68)+CI45+SUM(CI71:CI74))-(CI38+CI39+CI40)</f>
        <v>12</v>
      </c>
      <c r="CJ89" s="363" t="n">
        <f aca="false">(CJ87+CJ44+SUM(CJ61:CJ68)+CJ45+SUM(CJ71:CJ74))-(CJ38+CJ39+CJ40)</f>
        <v>12</v>
      </c>
      <c r="CK89" s="363" t="n">
        <f aca="false">(CK87+CK44+SUM(CK61:CK68)+CK45+SUM(CK71:CK74))-(CK38+CK39+CK40)</f>
        <v>12</v>
      </c>
      <c r="CL89" s="363" t="n">
        <f aca="false">(CL87+CL44+SUM(CL61:CL68)+CL45+SUM(CL71:CL74))-(CL38+CL39+CL40)</f>
        <v>12</v>
      </c>
      <c r="CM89" s="363" t="n">
        <f aca="false">(CM87+CM44+SUM(CM61:CM68)+CM45+SUM(CM71:CM74))-(CM38+CM39+CM40)</f>
        <v>12</v>
      </c>
      <c r="CN89" s="363" t="n">
        <f aca="false">(CN87+CN44+SUM(CN61:CN68)+CN45+SUM(CN71:CN74))-(CN38+CN39+CN40)</f>
        <v>12</v>
      </c>
      <c r="CO89" s="363" t="n">
        <f aca="false">(CO87+CO44+SUM(CO61:CO68)+CO45+SUM(CO71:CO74))-(CO38+CO39+CO40)</f>
        <v>12</v>
      </c>
      <c r="CP89" s="363" t="n">
        <f aca="false">(CP87+CP44+SUM(CP61:CP68)+CP45+SUM(CP71:CP74))-(CP38+CP39+CP40)</f>
        <v>12</v>
      </c>
      <c r="CQ89" s="363" t="n">
        <f aca="false">(CQ87+CQ44+SUM(CQ61:CQ68)+CQ45+SUM(CQ71:CQ74))-(CQ38+CQ39+CQ40)</f>
        <v>12</v>
      </c>
      <c r="CR89" s="363" t="n">
        <f aca="false">(CR87+CR44+SUM(CR61:CR68)+CR45+SUM(CR71:CR74))-(CR38+CR39+CR40)</f>
        <v>12</v>
      </c>
      <c r="CS89" s="363" t="n">
        <f aca="false">(CS87+CS44+SUM(CS61:CS68)+CS45+SUM(CS71:CS74))-(CS38+CS39+CS40)</f>
        <v>12</v>
      </c>
      <c r="CT89" s="363" t="n">
        <f aca="false">(CT87+CT44+SUM(CT61:CT68)+CT45+SUM(CT71:CT74))-(CT38+CT39+CT40)</f>
        <v>12</v>
      </c>
      <c r="CU89" s="363" t="n">
        <f aca="false">(CU87+CU44+SUM(CU61:CU68)+CU45+SUM(CU71:CU74))-(CU38+CU39+CU40)</f>
        <v>12</v>
      </c>
      <c r="CV89" s="363" t="n">
        <f aca="false">(CV87+CV44+SUM(CV61:CV68)+CV45+SUM(CV71:CV74))-(CV38+CV39+CV40)</f>
        <v>12</v>
      </c>
      <c r="CW89" s="363" t="n">
        <f aca="false">(CW87+CW44+SUM(CW61:CW68)+CW45+SUM(CW71:CW74))-(CW38+CW39+CW40)</f>
        <v>12</v>
      </c>
      <c r="CX89" s="363" t="n">
        <f aca="false">(CX87+CX44+SUM(CX61:CX68)+CX45+SUM(CX71:CX74))-(CX38+CX39+CX40)</f>
        <v>12</v>
      </c>
      <c r="CY89" s="363" t="n">
        <f aca="false">(CY87+CY44+SUM(CY61:CY68)+CY45+SUM(CY71:CY74))-(CY38+CY39+CY40)</f>
        <v>12</v>
      </c>
      <c r="CZ89" s="363" t="n">
        <f aca="false">(CZ87+CZ44+SUM(CZ61:CZ68)+CZ45+SUM(CZ71:CZ74))-(CZ38+CZ39+CZ40)</f>
        <v>12</v>
      </c>
      <c r="DA89" s="363" t="n">
        <f aca="false">(DA87+DA44+SUM(DA61:DA68)+DA45+SUM(DA71:DA74))-(DA38+DA39+DA40)</f>
        <v>12</v>
      </c>
      <c r="DB89" s="363" t="n">
        <f aca="false">(DB87+DB44+SUM(DB61:DB68)+DB45+SUM(DB71:DB74))-(DB38+DB39+DB40)</f>
        <v>12</v>
      </c>
      <c r="DC89" s="363" t="n">
        <f aca="false">(DC87+DC44+SUM(DC61:DC68)+DC45+SUM(DC71:DC74))-(DC38+DC39+DC40)</f>
        <v>12</v>
      </c>
      <c r="DD89" s="363" t="n">
        <f aca="false">(DD87+DD44+SUM(DD61:DD68)+DD45+SUM(DD71:DD74))-(DD38+DD39+DD40)</f>
        <v>12</v>
      </c>
      <c r="DE89" s="363" t="n">
        <f aca="false">(DE87+DE44+SUM(DE61:DE68)+DE45+SUM(DE71:DE74))-(DE38+DE39+DE40)</f>
        <v>12</v>
      </c>
    </row>
    <row r="91" customFormat="false" ht="13.5" hidden="false" customHeight="true" outlineLevel="0" collapsed="false">
      <c r="A91" s="221" t="s">
        <v>1250</v>
      </c>
      <c r="B91" s="222"/>
    </row>
    <row r="92" customFormat="false" ht="13.5" hidden="false" customHeight="true" outlineLevel="0" collapsed="false">
      <c r="A92" s="109" t="s">
        <v>1251</v>
      </c>
      <c r="B92" s="360" t="n">
        <v>1</v>
      </c>
    </row>
    <row r="93" customFormat="false" ht="13.5" hidden="false" customHeight="true" outlineLevel="0" collapsed="false">
      <c r="A93" s="109" t="s">
        <v>1252</v>
      </c>
      <c r="B93" s="360" t="n">
        <v>0.5</v>
      </c>
    </row>
    <row r="94" customFormat="false" ht="13.5" hidden="false" customHeight="true" outlineLevel="0" collapsed="false">
      <c r="A94" s="109" t="s">
        <v>1253</v>
      </c>
      <c r="B94" s="360" t="n">
        <v>0.33</v>
      </c>
    </row>
    <row r="96" customFormat="false" ht="13.5" hidden="false" customHeight="true" outlineLevel="0" collapsed="false">
      <c r="A96" s="1" t="s">
        <v>1254</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4.66</v>
      </c>
      <c r="O96" s="1" t="n">
        <f aca="false">SUMPRODUCT((Projects!$G$2:$G$45="Yes")*(11&gt;=Projects!$C$2:$C$45-$B$15)*(11&lt;=Projects!$W$2:$W$45+$B$17)*((Projects!$B$2:$B$45&gt;=$B$12)*$B$92+(Projects!$B$2:$B$45&lt;$B$12)*(Projects!$B$2:$B$45&gt;=$B$13)*$B$93+(Projects!$B$2:$B$45&lt;$B$13)*$B$94))</f>
        <v>4.99</v>
      </c>
      <c r="P96" s="1" t="n">
        <f aca="false">SUMPRODUCT((Projects!$G$2:$G$45="Yes")*(12&gt;=Projects!$C$2:$C$45-$B$15)*(12&lt;=Projects!$W$2:$W$45+$B$17)*((Projects!$B$2:$B$45&gt;=$B$12)*$B$92+(Projects!$B$2:$B$45&lt;$B$12)*(Projects!$B$2:$B$45&gt;=$B$13)*$B$93+(Projects!$B$2:$B$45&lt;$B$13)*$B$94))</f>
        <v>4.99</v>
      </c>
      <c r="Q96" s="1" t="n">
        <f aca="false">SUMPRODUCT((Projects!$G$2:$G$45="Yes")*(13&gt;=Projects!$C$2:$C$45-$B$15)*(13&lt;=Projects!$W$2:$W$45+$B$17)*((Projects!$B$2:$B$45&gt;=$B$12)*$B$92+(Projects!$B$2:$B$45&lt;$B$12)*(Projects!$B$2:$B$45&gt;=$B$13)*$B$93+(Projects!$B$2:$B$45&lt;$B$13)*$B$94))</f>
        <v>4.99</v>
      </c>
      <c r="R96" s="1" t="n">
        <f aca="false">SUMPRODUCT((Projects!$G$2:$G$45="Yes")*(14&gt;=Projects!$C$2:$C$45-$B$15)*(14&lt;=Projects!$W$2:$W$45+$B$17)*((Projects!$B$2:$B$45&gt;=$B$12)*$B$92+(Projects!$B$2:$B$45&lt;$B$12)*(Projects!$B$2:$B$45&gt;=$B$13)*$B$93+(Projects!$B$2:$B$45&lt;$B$13)*$B$94))</f>
        <v>4.99</v>
      </c>
      <c r="S96" s="1" t="n">
        <f aca="false">SUMPRODUCT((Projects!$G$2:$G$45="Yes")*(15&gt;=Projects!$C$2:$C$45-$B$15)*(15&lt;=Projects!$W$2:$W$45+$B$17)*((Projects!$B$2:$B$45&gt;=$B$12)*$B$92+(Projects!$B$2:$B$45&lt;$B$12)*(Projects!$B$2:$B$45&gt;=$B$13)*$B$93+(Projects!$B$2:$B$45&lt;$B$13)*$B$94))</f>
        <v>6.49</v>
      </c>
      <c r="T96" s="1" t="n">
        <f aca="false">SUMPRODUCT((Projects!$G$2:$G$45="Yes")*(16&gt;=Projects!$C$2:$C$45-$B$15)*(16&lt;=Projects!$W$2:$W$45+$B$17)*((Projects!$B$2:$B$45&gt;=$B$12)*$B$92+(Projects!$B$2:$B$45&lt;$B$12)*(Projects!$B$2:$B$45&gt;=$B$13)*$B$93+(Projects!$B$2:$B$45&lt;$B$13)*$B$94))</f>
        <v>6.49</v>
      </c>
      <c r="U96" s="1" t="n">
        <f aca="false">SUMPRODUCT((Projects!$G$2:$G$45="Yes")*(17&gt;=Projects!$C$2:$C$45-$B$15)*(17&lt;=Projects!$W$2:$W$45+$B$17)*((Projects!$B$2:$B$45&gt;=$B$12)*$B$92+(Projects!$B$2:$B$45&lt;$B$12)*(Projects!$B$2:$B$45&gt;=$B$13)*$B$93+(Projects!$B$2:$B$45&lt;$B$13)*$B$94))</f>
        <v>6.16</v>
      </c>
      <c r="V96" s="1" t="n">
        <f aca="false">SUMPRODUCT((Projects!$G$2:$G$45="Yes")*(18&gt;=Projects!$C$2:$C$45-$B$15)*(18&lt;=Projects!$W$2:$W$45+$B$17)*((Projects!$B$2:$B$45&gt;=$B$12)*$B$92+(Projects!$B$2:$B$45&lt;$B$12)*(Projects!$B$2:$B$45&gt;=$B$13)*$B$93+(Projects!$B$2:$B$45&lt;$B$13)*$B$94))</f>
        <v>6.16</v>
      </c>
      <c r="W96" s="1" t="n">
        <f aca="false">SUMPRODUCT((Projects!$G$2:$G$45="Yes")*(19&gt;=Projects!$C$2:$C$45-$B$15)*(19&lt;=Projects!$W$2:$W$45+$B$17)*((Projects!$B$2:$B$45&gt;=$B$12)*$B$92+(Projects!$B$2:$B$45&lt;$B$12)*(Projects!$B$2:$B$45&gt;=$B$13)*$B$93+(Projects!$B$2:$B$45&lt;$B$13)*$B$94))</f>
        <v>5.66</v>
      </c>
      <c r="X96" s="1" t="n">
        <f aca="false">SUMPRODUCT((Projects!$G$2:$G$45="Yes")*(20&gt;=Projects!$C$2:$C$45-$B$15)*(20&lt;=Projects!$W$2:$W$45+$B$17)*((Projects!$B$2:$B$45&gt;=$B$12)*$B$92+(Projects!$B$2:$B$45&lt;$B$12)*(Projects!$B$2:$B$45&gt;=$B$13)*$B$93+(Projects!$B$2:$B$45&lt;$B$13)*$B$94))</f>
        <v>5.16</v>
      </c>
      <c r="Y96" s="1" t="n">
        <f aca="false">SUMPRODUCT((Projects!$G$2:$G$45="Yes")*(21&gt;=Projects!$C$2:$C$45-$B$15)*(21&lt;=Projects!$W$2:$W$45+$B$17)*((Projects!$B$2:$B$45&gt;=$B$12)*$B$92+(Projects!$B$2:$B$45&lt;$B$12)*(Projects!$B$2:$B$45&gt;=$B$13)*$B$93+(Projects!$B$2:$B$45&lt;$B$13)*$B$94))</f>
        <v>4.66</v>
      </c>
      <c r="Z96" s="1" t="n">
        <f aca="false">SUMPRODUCT((Projects!$G$2:$G$45="Yes")*(22&gt;=Projects!$C$2:$C$45-$B$15)*(22&lt;=Projects!$W$2:$W$45+$B$17)*((Projects!$B$2:$B$45&gt;=$B$12)*$B$92+(Projects!$B$2:$B$45&lt;$B$12)*(Projects!$B$2:$B$45&gt;=$B$13)*$B$93+(Projects!$B$2:$B$45&lt;$B$13)*$B$94))</f>
        <v>4.66</v>
      </c>
      <c r="AA96" s="1" t="n">
        <f aca="false">SUMPRODUCT((Projects!$G$2:$G$45="Yes")*(23&gt;=Projects!$C$2:$C$45-$B$15)*(23&lt;=Projects!$W$2:$W$45+$B$17)*((Projects!$B$2:$B$45&gt;=$B$12)*$B$92+(Projects!$B$2:$B$45&lt;$B$12)*(Projects!$B$2:$B$45&gt;=$B$13)*$B$93+(Projects!$B$2:$B$45&lt;$B$13)*$B$94))</f>
        <v>4.66</v>
      </c>
      <c r="AB96" s="1" t="n">
        <f aca="false">SUMPRODUCT((Projects!$G$2:$G$45="Yes")*(24&gt;=Projects!$C$2:$C$45-$B$15)*(24&lt;=Projects!$W$2:$W$45+$B$17)*((Projects!$B$2:$B$45&gt;=$B$12)*$B$92+(Projects!$B$2:$B$45&lt;$B$12)*(Projects!$B$2:$B$45&gt;=$B$13)*$B$93+(Projects!$B$2:$B$45&lt;$B$13)*$B$94))</f>
        <v>4.66</v>
      </c>
      <c r="AC96" s="1" t="n">
        <f aca="false">SUMPRODUCT((Projects!$G$2:$G$45="Yes")*(25&gt;=Projects!$C$2:$C$45-$B$15)*(25&lt;=Projects!$W$2:$W$45+$B$17)*((Projects!$B$2:$B$45&gt;=$B$12)*$B$92+(Projects!$B$2:$B$45&lt;$B$12)*(Projects!$B$2:$B$45&gt;=$B$13)*$B$93+(Projects!$B$2:$B$45&lt;$B$13)*$B$94))</f>
        <v>4.16</v>
      </c>
      <c r="AD96" s="1" t="n">
        <f aca="false">SUMPRODUCT((Projects!$G$2:$G$45="Yes")*(26&gt;=Projects!$C$2:$C$45-$B$15)*(26&lt;=Projects!$W$2:$W$45+$B$17)*((Projects!$B$2:$B$45&gt;=$B$12)*$B$92+(Projects!$B$2:$B$45&lt;$B$12)*(Projects!$B$2:$B$45&gt;=$B$13)*$B$93+(Projects!$B$2:$B$45&lt;$B$13)*$B$94))</f>
        <v>3.66</v>
      </c>
      <c r="AE96" s="1" t="n">
        <f aca="false">SUMPRODUCT((Projects!$G$2:$G$45="Yes")*(27&gt;=Projects!$C$2:$C$45-$B$15)*(27&lt;=Projects!$W$2:$W$45+$B$17)*((Projects!$B$2:$B$45&gt;=$B$12)*$B$92+(Projects!$B$2:$B$45&lt;$B$12)*(Projects!$B$2:$B$45&gt;=$B$13)*$B$93+(Projects!$B$2:$B$45&lt;$B$13)*$B$94))</f>
        <v>3.66</v>
      </c>
      <c r="AF96" s="1" t="n">
        <f aca="false">SUMPRODUCT((Projects!$G$2:$G$45="Yes")*(28&gt;=Projects!$C$2:$C$45-$B$15)*(28&lt;=Projects!$W$2:$W$45+$B$17)*((Projects!$B$2:$B$45&gt;=$B$12)*$B$92+(Projects!$B$2:$B$45&lt;$B$12)*(Projects!$B$2:$B$45&gt;=$B$13)*$B$93+(Projects!$B$2:$B$45&lt;$B$13)*$B$94))</f>
        <v>3.66</v>
      </c>
      <c r="AG96" s="1" t="n">
        <f aca="false">SUMPRODUCT((Projects!$G$2:$G$45="Yes")*(29&gt;=Projects!$C$2:$C$45-$B$15)*(29&lt;=Projects!$W$2:$W$45+$B$17)*((Projects!$B$2:$B$45&gt;=$B$12)*$B$92+(Projects!$B$2:$B$45&lt;$B$12)*(Projects!$B$2:$B$45&gt;=$B$13)*$B$93+(Projects!$B$2:$B$45&lt;$B$13)*$B$94))</f>
        <v>3.66</v>
      </c>
      <c r="AH96" s="1" t="n">
        <f aca="false">SUMPRODUCT((Projects!$G$2:$G$45="Yes")*(30&gt;=Projects!$C$2:$C$45-$B$15)*(30&lt;=Projects!$W$2:$W$45+$B$17)*((Projects!$B$2:$B$45&gt;=$B$12)*$B$92+(Projects!$B$2:$B$45&lt;$B$12)*(Projects!$B$2:$B$45&gt;=$B$13)*$B$93+(Projects!$B$2:$B$45&lt;$B$13)*$B$94))</f>
        <v>2.83</v>
      </c>
      <c r="AI96" s="1" t="n">
        <f aca="false">SUMPRODUCT((Projects!$G$2:$G$45="Yes")*(31&gt;=Projects!$C$2:$C$45-$B$15)*(31&lt;=Projects!$W$2:$W$45+$B$17)*((Projects!$B$2:$B$45&gt;=$B$12)*$B$92+(Projects!$B$2:$B$45&lt;$B$12)*(Projects!$B$2:$B$45&gt;=$B$13)*$B$93+(Projects!$B$2:$B$45&lt;$B$13)*$B$94))</f>
        <v>2.5</v>
      </c>
      <c r="AJ96" s="1" t="n">
        <f aca="false">SUMPRODUCT((Projects!$G$2:$G$45="Yes")*(32&gt;=Projects!$C$2:$C$45-$B$15)*(32&lt;=Projects!$W$2:$W$45+$B$17)*((Projects!$B$2:$B$45&gt;=$B$12)*$B$92+(Projects!$B$2:$B$45&lt;$B$12)*(Projects!$B$2:$B$45&gt;=$B$13)*$B$93+(Projects!$B$2:$B$45&lt;$B$13)*$B$94))</f>
        <v>2.5</v>
      </c>
      <c r="AK96" s="1" t="n">
        <f aca="false">SUMPRODUCT((Projects!$G$2:$G$45="Yes")*(33&gt;=Projects!$C$2:$C$45-$B$15)*(33&lt;=Projects!$W$2:$W$45+$B$17)*((Projects!$B$2:$B$45&gt;=$B$12)*$B$92+(Projects!$B$2:$B$45&lt;$B$12)*(Projects!$B$2:$B$45&gt;=$B$13)*$B$93+(Projects!$B$2:$B$45&lt;$B$13)*$B$94))</f>
        <v>2.5</v>
      </c>
      <c r="AL96" s="1" t="n">
        <f aca="false">SUMPRODUCT((Projects!$G$2:$G$45="Yes")*(34&gt;=Projects!$C$2:$C$45-$B$15)*(34&lt;=Projects!$W$2:$W$45+$B$17)*((Projects!$B$2:$B$45&gt;=$B$12)*$B$92+(Projects!$B$2:$B$45&lt;$B$12)*(Projects!$B$2:$B$45&gt;=$B$13)*$B$93+(Projects!$B$2:$B$45&lt;$B$13)*$B$94))</f>
        <v>2.5</v>
      </c>
      <c r="AM96" s="1" t="n">
        <f aca="false">SUMPRODUCT((Projects!$G$2:$G$45="Yes")*(35&gt;=Projects!$C$2:$C$45-$B$15)*(35&lt;=Projects!$W$2:$W$45+$B$17)*((Projects!$B$2:$B$45&gt;=$B$12)*$B$92+(Projects!$B$2:$B$45&lt;$B$12)*(Projects!$B$2:$B$45&gt;=$B$13)*$B$93+(Projects!$B$2:$B$45&lt;$B$13)*$B$94))</f>
        <v>2.5</v>
      </c>
      <c r="AN96" s="1" t="n">
        <f aca="false">SUMPRODUCT((Projects!$G$2:$G$45="Yes")*(36&gt;=Projects!$C$2:$C$45-$B$15)*(36&lt;=Projects!$W$2:$W$45+$B$17)*((Projects!$B$2:$B$45&gt;=$B$12)*$B$92+(Projects!$B$2:$B$45&lt;$B$12)*(Projects!$B$2:$B$45&gt;=$B$13)*$B$93+(Projects!$B$2:$B$45&lt;$B$13)*$B$94))</f>
        <v>2.5</v>
      </c>
      <c r="AO96" s="1" t="n">
        <f aca="false">SUMPRODUCT((Projects!$G$2:$G$45="Yes")*(37&gt;=Projects!$C$2:$C$45-$B$15)*(37&lt;=Projects!$W$2:$W$45+$B$17)*((Projects!$B$2:$B$45&gt;=$B$12)*$B$92+(Projects!$B$2:$B$45&lt;$B$12)*(Projects!$B$2:$B$45&gt;=$B$13)*$B$93+(Projects!$B$2:$B$45&lt;$B$13)*$B$94))</f>
        <v>2.5</v>
      </c>
      <c r="AP96" s="1" t="n">
        <f aca="false">SUMPRODUCT((Projects!$G$2:$G$45="Yes")*(38&gt;=Projects!$C$2:$C$45-$B$15)*(38&lt;=Projects!$W$2:$W$45+$B$17)*((Projects!$B$2:$B$45&gt;=$B$12)*$B$92+(Projects!$B$2:$B$45&lt;$B$12)*(Projects!$B$2:$B$45&gt;=$B$13)*$B$93+(Projects!$B$2:$B$45&lt;$B$13)*$B$94))</f>
        <v>1.5</v>
      </c>
      <c r="AQ96" s="1" t="n">
        <f aca="false">SUMPRODUCT((Projects!$G$2:$G$45="Yes")*(39&gt;=Projects!$C$2:$C$45-$B$15)*(39&lt;=Projects!$W$2:$W$45+$B$17)*((Projects!$B$2:$B$45&gt;=$B$12)*$B$92+(Projects!$B$2:$B$45&lt;$B$12)*(Projects!$B$2:$B$45&gt;=$B$13)*$B$93+(Projects!$B$2:$B$45&lt;$B$13)*$B$94))</f>
        <v>1.5</v>
      </c>
      <c r="AR96" s="1" t="n">
        <f aca="false">SUMPRODUCT((Projects!$G$2:$G$45="Yes")*(40&gt;=Projects!$C$2:$C$45-$B$15)*(40&lt;=Projects!$W$2:$W$45+$B$17)*((Projects!$B$2:$B$45&gt;=$B$12)*$B$92+(Projects!$B$2:$B$45&lt;$B$12)*(Projects!$B$2:$B$45&gt;=$B$13)*$B$93+(Projects!$B$2:$B$45&lt;$B$13)*$B$94))</f>
        <v>1</v>
      </c>
      <c r="AS96" s="1" t="n">
        <f aca="false">SUMPRODUCT((Projects!$G$2:$G$45="Yes")*(41&gt;=Projects!$C$2:$C$45-$B$15)*(41&lt;=Projects!$W$2:$W$45+$B$17)*((Projects!$B$2:$B$45&gt;=$B$12)*$B$92+(Projects!$B$2:$B$45&lt;$B$12)*(Projects!$B$2:$B$45&gt;=$B$13)*$B$93+(Projects!$B$2:$B$45&lt;$B$13)*$B$94))</f>
        <v>1</v>
      </c>
      <c r="AT96" s="1" t="n">
        <f aca="false">SUMPRODUCT((Projects!$G$2:$G$45="Yes")*(42&gt;=Projects!$C$2:$C$45-$B$15)*(42&lt;=Projects!$W$2:$W$45+$B$17)*((Projects!$B$2:$B$45&gt;=$B$12)*$B$92+(Projects!$B$2:$B$45&lt;$B$12)*(Projects!$B$2:$B$45&gt;=$B$13)*$B$93+(Projects!$B$2:$B$45&lt;$B$13)*$B$94))</f>
        <v>1</v>
      </c>
      <c r="AU96" s="1" t="n">
        <f aca="false">SUMPRODUCT((Projects!$G$2:$G$45="Yes")*(43&gt;=Projects!$C$2:$C$45-$B$15)*(43&lt;=Projects!$W$2:$W$45+$B$17)*((Projects!$B$2:$B$45&gt;=$B$12)*$B$92+(Projects!$B$2:$B$45&lt;$B$12)*(Projects!$B$2:$B$45&gt;=$B$13)*$B$93+(Projects!$B$2:$B$45&lt;$B$13)*$B$94))</f>
        <v>1</v>
      </c>
      <c r="AV96" s="1" t="n">
        <f aca="false">SUMPRODUCT((Projects!$G$2:$G$45="Yes")*(44&gt;=Projects!$C$2:$C$45-$B$15)*(44&lt;=Projects!$W$2:$W$45+$B$17)*((Projects!$B$2:$B$45&gt;=$B$12)*$B$92+(Projects!$B$2:$B$45&lt;$B$12)*(Projects!$B$2:$B$45&gt;=$B$13)*$B$93+(Projects!$B$2:$B$45&lt;$B$13)*$B$94))</f>
        <v>1</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1255</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1256</v>
      </c>
      <c r="B99" s="223" t="n">
        <f aca="false">$B$27</f>
        <v>125000</v>
      </c>
      <c r="E99" s="364" t="n">
        <f aca="false">IF(1&lt;5,0,IF(MAX(E96)&gt;E97+0+$B$18,1,0))</f>
        <v>0</v>
      </c>
      <c r="F99" s="364" t="n">
        <f aca="false">IF(2&lt;5,0,IF(MAX(E96:F96)&gt;F97+0+$B$18,1,0))</f>
        <v>0</v>
      </c>
      <c r="G99" s="364" t="n">
        <f aca="false">IF(3&lt;5,0,IF(MAX(E96:G96)&gt;G97+0+$B$18,1,0))</f>
        <v>0</v>
      </c>
      <c r="H99" s="364" t="n">
        <f aca="false">IF(4&lt;5,0,IF(MAX(E96:H96)&gt;H97+0+$B$18,1,0))</f>
        <v>0</v>
      </c>
      <c r="I99" s="364" t="n">
        <f aca="false">IF(5&lt;5,0,IF(MAX(E96:I96)&gt;I97+0+$B$18,1,0))</f>
        <v>0</v>
      </c>
      <c r="J99" s="364" t="n">
        <f aca="false">IF(6&lt;5,0,IF(MAX(E96:J96)&gt;J97+0+$B$18,1,0))</f>
        <v>0</v>
      </c>
      <c r="K99" s="364" t="n">
        <f aca="false">IF(7&lt;5,0,IF(MAX(F96:K96)&gt;K97+0+$B$18,1,0))</f>
        <v>0</v>
      </c>
      <c r="L99" s="364" t="n">
        <f aca="false">IF(8&lt;5,0,IF(MAX(G96:L96)&gt;L97+0+$B$18,1,0))</f>
        <v>0</v>
      </c>
      <c r="M99" s="364" t="n">
        <f aca="false">IF(9&lt;5,0,IF(MAX(H96:M96)&gt;M97+0+$B$18,1,0))</f>
        <v>0</v>
      </c>
      <c r="N99" s="364" t="n">
        <f aca="false">IF(10&lt;5,0,IF(MAX(I96:N96)&gt;N97+0+$B$18,1,0))</f>
        <v>0</v>
      </c>
      <c r="O99" s="364" t="n">
        <f aca="false">IF(11&lt;5,0,IF(MAX(J96:O96)&gt;O97+0+$B$18,1,0))</f>
        <v>1</v>
      </c>
      <c r="P99" s="364" t="n">
        <f aca="false">IF(12&lt;5,0,IF(MAX(K96:P96)&gt;P97+0+$B$18,1,0))</f>
        <v>1</v>
      </c>
      <c r="Q99" s="364" t="n">
        <f aca="false">IF(13&lt;5,0,IF(MAX(L96:Q96)&gt;Q97+0+$B$18,1,0))</f>
        <v>1</v>
      </c>
      <c r="R99" s="364" t="n">
        <f aca="false">IF(14&lt;5,0,IF(MAX(M96:R96)&gt;R97+0+$B$18,1,0))</f>
        <v>1</v>
      </c>
      <c r="S99" s="364" t="n">
        <f aca="false">IF(15&lt;5,0,IF(MAX(N96:S96)&gt;S97+0+$B$18,1,0))</f>
        <v>1</v>
      </c>
      <c r="T99" s="364" t="n">
        <f aca="false">IF(16&lt;5,0,IF(MAX(O96:T96)&gt;T97+0+$B$18,1,0))</f>
        <v>1</v>
      </c>
      <c r="U99" s="364" t="n">
        <f aca="false">IF(17&lt;5,0,IF(MAX(P96:U96)&gt;U97+0+$B$18,1,0))</f>
        <v>1</v>
      </c>
      <c r="V99" s="364" t="n">
        <f aca="false">IF(18&lt;5,0,IF(MAX(Q96:V96)&gt;V97+0+$B$18,1,0))</f>
        <v>1</v>
      </c>
      <c r="W99" s="364" t="n">
        <f aca="false">IF(19&lt;5,0,IF(MAX(R96:W96)&gt;W97+0+$B$18,1,0))</f>
        <v>1</v>
      </c>
      <c r="X99" s="364" t="n">
        <f aca="false">IF(20&lt;5,0,IF(MAX(S96:X96)&gt;X97+0+$B$18,1,0))</f>
        <v>1</v>
      </c>
      <c r="Y99" s="364" t="n">
        <f aca="false">IF(21&lt;5,0,IF(MAX(T96:Y96)&gt;Y97+0+$B$18,1,0))</f>
        <v>1</v>
      </c>
      <c r="Z99" s="364" t="n">
        <f aca="false">IF(22&lt;5,0,IF(MAX(U96:Z96)&gt;Z97+0+$B$18,1,0))</f>
        <v>1</v>
      </c>
      <c r="AA99" s="364" t="n">
        <f aca="false">IF(23&lt;5,0,IF(MAX(V96:AA96)&gt;AA97+0+$B$18,1,0))</f>
        <v>1</v>
      </c>
      <c r="AB99" s="364" t="n">
        <f aca="false">IF(24&lt;5,0,IF(MAX(W96:AB96)&gt;AB97+0+$B$18,1,0))</f>
        <v>1</v>
      </c>
      <c r="AC99" s="364" t="n">
        <f aca="false">IF(25&lt;5,0,IF(MAX(X96:AC96)&gt;AC97+0+$B$18,1,0))</f>
        <v>1</v>
      </c>
      <c r="AD99" s="364" t="n">
        <f aca="false">IF(26&lt;5,0,IF(MAX(Y96:AD96)&gt;AD97+0+$B$18,1,0))</f>
        <v>0</v>
      </c>
      <c r="AE99" s="364" t="n">
        <f aca="false">IF(27&lt;5,0,IF(MAX(Z96:AE96)&gt;AE97+0+$B$18,1,0))</f>
        <v>0</v>
      </c>
      <c r="AF99" s="364" t="n">
        <f aca="false">IF(28&lt;5,0,IF(MAX(AA96:AF96)&gt;AF97+0+$B$18,1,0))</f>
        <v>0</v>
      </c>
      <c r="AG99" s="364" t="n">
        <f aca="false">IF(29&lt;5,0,IF(MAX(AB96:AG96)&gt;AG97+0+$B$18,1,0))</f>
        <v>0</v>
      </c>
      <c r="AH99" s="364" t="n">
        <f aca="false">IF(30&lt;5,0,IF(MAX(AC96:AH96)&gt;AH97+0+$B$18,1,0))</f>
        <v>0</v>
      </c>
      <c r="AI99" s="364" t="n">
        <f aca="false">IF(31&lt;5,0,IF(MAX(AD96:AI96)&gt;AI97+0+$B$18,1,0))</f>
        <v>0</v>
      </c>
      <c r="AJ99" s="364" t="n">
        <f aca="false">IF(32&lt;5,0,IF(MAX(AE96:AJ96)&gt;AJ97+0+$B$18,1,0))</f>
        <v>0</v>
      </c>
      <c r="AK99" s="364" t="n">
        <f aca="false">IF(33&lt;5,0,IF(MAX(AF96:AK96)&gt;AK97+0+$B$18,1,0))</f>
        <v>0</v>
      </c>
      <c r="AL99" s="364" t="n">
        <f aca="false">IF(34&lt;5,0,IF(MAX(AG96:AL96)&gt;AL97+0+$B$18,1,0))</f>
        <v>0</v>
      </c>
      <c r="AM99" s="364" t="n">
        <f aca="false">IF(35&lt;5,0,IF(MAX(AH96:AM96)&gt;AM97+0+$B$18,1,0))</f>
        <v>0</v>
      </c>
      <c r="AN99" s="364" t="n">
        <f aca="false">IF(36&lt;5,0,IF(MAX(AI96:AN96)&gt;AN97+0+$B$18,1,0))</f>
        <v>0</v>
      </c>
      <c r="AO99" s="364" t="n">
        <f aca="false">IF(37&lt;5,0,IF(MAX(AJ96:AO96)&gt;AO97+0+$B$18,1,0))</f>
        <v>0</v>
      </c>
      <c r="AP99" s="364" t="n">
        <f aca="false">IF(38&lt;5,0,IF(MAX(AK96:AP96)&gt;AP97+0+$B$18,1,0))</f>
        <v>0</v>
      </c>
      <c r="AQ99" s="364" t="n">
        <f aca="false">IF(39&lt;5,0,IF(MAX(AL96:AQ96)&gt;AQ97+0+$B$18,1,0))</f>
        <v>0</v>
      </c>
      <c r="AR99" s="364" t="n">
        <f aca="false">IF(40&lt;5,0,IF(MAX(AM96:AR96)&gt;AR97+0+$B$18,1,0))</f>
        <v>0</v>
      </c>
      <c r="AS99" s="364" t="n">
        <f aca="false">IF(41&lt;5,0,IF(MAX(AN96:AS96)&gt;AS97+0+$B$18,1,0))</f>
        <v>0</v>
      </c>
      <c r="AT99" s="364" t="n">
        <f aca="false">IF(42&lt;5,0,IF(MAX(AO96:AT96)&gt;AT97+0+$B$18,1,0))</f>
        <v>0</v>
      </c>
      <c r="AU99" s="364" t="n">
        <f aca="false">IF(43&lt;5,0,IF(MAX(AP96:AU96)&gt;AU97+0+$B$18,1,0))</f>
        <v>0</v>
      </c>
      <c r="AV99" s="364" t="n">
        <f aca="false">IF(44&lt;5,0,IF(MAX(AQ96:AV96)&gt;AV97+0+$B$18,1,0))</f>
        <v>0</v>
      </c>
      <c r="AW99" s="364" t="n">
        <f aca="false">IF(45&lt;5,0,IF(MAX(AR96:AW96)&gt;AW97+0+$B$18,1,0))</f>
        <v>0</v>
      </c>
      <c r="AX99" s="364" t="n">
        <f aca="false">IF(46&lt;5,0,IF(MAX(AS96:AX96)&gt;AX97+0+$B$18,1,0))</f>
        <v>0</v>
      </c>
      <c r="AY99" s="364" t="n">
        <f aca="false">IF(47&lt;5,0,IF(MAX(AT96:AY96)&gt;AY97+0+$B$18,1,0))</f>
        <v>0</v>
      </c>
      <c r="AZ99" s="364" t="n">
        <f aca="false">IF(48&lt;5,0,IF(MAX(AU96:AZ96)&gt;AZ97+0+$B$18,1,0))</f>
        <v>0</v>
      </c>
      <c r="BA99" s="364" t="n">
        <f aca="false">IF(49&lt;5,0,IF(MAX(AV96:BA96)&gt;BA97+0+$B$18,1,0))</f>
        <v>0</v>
      </c>
      <c r="BB99" s="364" t="n">
        <f aca="false">IF(50&lt;5,0,IF(MAX(AW96:BB96)&gt;BB97+0+$B$18,1,0))</f>
        <v>0</v>
      </c>
      <c r="BC99" s="364" t="n">
        <f aca="false">IF(51&lt;5,0,IF(MAX(AX96:BC96)&gt;BC97+0+$B$18,1,0))</f>
        <v>0</v>
      </c>
      <c r="BD99" s="364" t="n">
        <f aca="false">IF(52&lt;5,0,IF(MAX(AY96:BD96)&gt;BD97+0+$B$18,1,0))</f>
        <v>0</v>
      </c>
      <c r="BE99" s="364" t="n">
        <f aca="false">IF(53&lt;5,0,IF(MAX(AZ96:BE96)&gt;BE97+0+$B$18,1,0))</f>
        <v>0</v>
      </c>
      <c r="BF99" s="364" t="n">
        <f aca="false">IF(54&lt;5,0,IF(MAX(BA96:BF96)&gt;BF97+0+$B$18,1,0))</f>
        <v>0</v>
      </c>
      <c r="BG99" s="364" t="n">
        <f aca="false">IF(55&lt;5,0,IF(MAX(BB96:BG96)&gt;BG97+0+$B$18,1,0))</f>
        <v>0</v>
      </c>
      <c r="BH99" s="364" t="n">
        <f aca="false">IF(56&lt;5,0,IF(MAX(BC96:BH96)&gt;BH97+0+$B$18,1,0))</f>
        <v>0</v>
      </c>
      <c r="BI99" s="364" t="n">
        <f aca="false">IF(57&lt;5,0,IF(MAX(BD96:BI96)&gt;BI97+0+$B$18,1,0))</f>
        <v>0</v>
      </c>
      <c r="BJ99" s="364" t="n">
        <f aca="false">IF(58&lt;5,0,IF(MAX(BE96:BJ96)&gt;BJ97+0+$B$18,1,0))</f>
        <v>0</v>
      </c>
      <c r="BK99" s="364" t="n">
        <f aca="false">IF(59&lt;5,0,IF(MAX(BF96:BK96)&gt;BK97+0+$B$18,1,0))</f>
        <v>0</v>
      </c>
      <c r="BL99" s="364" t="n">
        <f aca="false">IF(60&lt;5,0,IF(MAX(BG96:BL96)&gt;BL97+0+$B$18,1,0))</f>
        <v>0</v>
      </c>
      <c r="BM99" s="364" t="n">
        <f aca="false">IF(61&lt;5,0,IF(MAX(BH96:BM96)&gt;BM97+0+$B$18,1,0))</f>
        <v>0</v>
      </c>
      <c r="BN99" s="364" t="n">
        <f aca="false">IF(62&lt;5,0,IF(MAX(BI96:BN96)&gt;BN97+0+$B$18,1,0))</f>
        <v>0</v>
      </c>
      <c r="BO99" s="364" t="n">
        <f aca="false">IF(63&lt;5,0,IF(MAX(BJ96:BO96)&gt;BO97+0+$B$18,1,0))</f>
        <v>0</v>
      </c>
      <c r="BP99" s="364" t="n">
        <f aca="false">IF(64&lt;5,0,IF(MAX(BK96:BP96)&gt;BP97+0+$B$18,1,0))</f>
        <v>0</v>
      </c>
      <c r="BQ99" s="364" t="n">
        <f aca="false">IF(65&lt;5,0,IF(MAX(BL96:BQ96)&gt;BQ97+0+$B$18,1,0))</f>
        <v>0</v>
      </c>
      <c r="BR99" s="364" t="n">
        <f aca="false">IF(66&lt;5,0,IF(MAX(BM96:BR96)&gt;BR97+0+$B$18,1,0))</f>
        <v>0</v>
      </c>
      <c r="BS99" s="364" t="n">
        <f aca="false">IF(67&lt;5,0,IF(MAX(BN96:BS96)&gt;BS97+0+$B$18,1,0))</f>
        <v>0</v>
      </c>
      <c r="BT99" s="364" t="n">
        <f aca="false">IF(68&lt;5,0,IF(MAX(BO96:BT96)&gt;BT97+0+$B$18,1,0))</f>
        <v>0</v>
      </c>
      <c r="BU99" s="364" t="n">
        <f aca="false">IF(69&lt;5,0,IF(MAX(BP96:BU96)&gt;BU97+0+$B$18,1,0))</f>
        <v>0</v>
      </c>
      <c r="BV99" s="364" t="n">
        <f aca="false">IF(70&lt;5,0,IF(MAX(BQ96:BV96)&gt;BV97+0+$B$18,1,0))</f>
        <v>0</v>
      </c>
      <c r="BW99" s="364" t="n">
        <f aca="false">IF(71&lt;5,0,IF(MAX(BR96:BW96)&gt;BW97+0+$B$18,1,0))</f>
        <v>0</v>
      </c>
      <c r="BX99" s="364" t="n">
        <f aca="false">IF(72&lt;5,0,IF(MAX(BS96:BX96)&gt;BX97+0+$B$18,1,0))</f>
        <v>0</v>
      </c>
      <c r="BY99" s="364" t="n">
        <f aca="false">IF(73&lt;5,0,IF(MAX(BT96:BY96)&gt;BY97+0+$B$18,1,0))</f>
        <v>0</v>
      </c>
      <c r="BZ99" s="364" t="n">
        <f aca="false">IF(74&lt;5,0,IF(MAX(BU96:BZ96)&gt;BZ97+0+$B$18,1,0))</f>
        <v>0</v>
      </c>
      <c r="CA99" s="364" t="n">
        <f aca="false">IF(75&lt;5,0,IF(MAX(BV96:CA96)&gt;CA97+0+$B$18,1,0))</f>
        <v>0</v>
      </c>
      <c r="CB99" s="364" t="n">
        <f aca="false">IF(76&lt;5,0,IF(MAX(BW96:CB96)&gt;CB97+0+$B$18,1,0))</f>
        <v>0</v>
      </c>
      <c r="CC99" s="364" t="n">
        <f aca="false">IF(77&lt;5,0,IF(MAX(BX96:CC96)&gt;CC97+0+$B$18,1,0))</f>
        <v>0</v>
      </c>
      <c r="CD99" s="364" t="n">
        <f aca="false">IF(78&lt;5,0,IF(MAX(BY96:CD96)&gt;CD97+0+$B$18,1,0))</f>
        <v>0</v>
      </c>
      <c r="CE99" s="364" t="n">
        <f aca="false">IF(79&lt;5,0,IF(MAX(BZ96:CE96)&gt;CE97+0+$B$18,1,0))</f>
        <v>0</v>
      </c>
      <c r="CF99" s="364" t="n">
        <f aca="false">IF(80&lt;5,0,IF(MAX(CA96:CF96)&gt;CF97+0+$B$18,1,0))</f>
        <v>0</v>
      </c>
      <c r="CG99" s="364" t="n">
        <f aca="false">IF(81&lt;5,0,IF(MAX(CB96:CG96)&gt;CG97+0+$B$18,1,0))</f>
        <v>0</v>
      </c>
      <c r="CH99" s="364" t="n">
        <f aca="false">IF(82&lt;5,0,IF(MAX(CC96:CH96)&gt;CH97+0+$B$18,1,0))</f>
        <v>0</v>
      </c>
      <c r="CI99" s="364" t="n">
        <f aca="false">IF(83&lt;5,0,IF(MAX(CD96:CI96)&gt;CI97+0+$B$18,1,0))</f>
        <v>0</v>
      </c>
      <c r="CJ99" s="364" t="n">
        <f aca="false">IF(84&lt;5,0,IF(MAX(CE96:CJ96)&gt;CJ97+0+$B$18,1,0))</f>
        <v>0</v>
      </c>
      <c r="CK99" s="364" t="n">
        <f aca="false">IF(85&lt;5,0,IF(MAX(CF96:CK96)&gt;CK97+0+$B$18,1,0))</f>
        <v>0</v>
      </c>
      <c r="CL99" s="364" t="n">
        <f aca="false">IF(86&lt;5,0,IF(MAX(CG96:CL96)&gt;CL97+0+$B$18,1,0))</f>
        <v>0</v>
      </c>
      <c r="CM99" s="364" t="n">
        <f aca="false">IF(87&lt;5,0,IF(MAX(CH96:CM96)&gt;CM97+0+$B$18,1,0))</f>
        <v>0</v>
      </c>
      <c r="CN99" s="364" t="n">
        <f aca="false">IF(88&lt;5,0,IF(MAX(CI96:CN96)&gt;CN97+0+$B$18,1,0))</f>
        <v>0</v>
      </c>
      <c r="CO99" s="364" t="n">
        <f aca="false">IF(89&lt;5,0,IF(MAX(CJ96:CO96)&gt;CO97+0+$B$18,1,0))</f>
        <v>0</v>
      </c>
      <c r="CP99" s="364" t="n">
        <f aca="false">IF(90&lt;5,0,IF(MAX(CK96:CP96)&gt;CP97+0+$B$18,1,0))</f>
        <v>0</v>
      </c>
      <c r="CQ99" s="364" t="n">
        <f aca="false">IF(91&lt;5,0,IF(MAX(CL96:CQ96)&gt;CQ97+0+$B$18,1,0))</f>
        <v>0</v>
      </c>
      <c r="CR99" s="364" t="n">
        <f aca="false">IF(92&lt;5,0,IF(MAX(CM96:CR96)&gt;CR97+0+$B$18,1,0))</f>
        <v>0</v>
      </c>
      <c r="CS99" s="364" t="n">
        <f aca="false">IF(93&lt;5,0,IF(MAX(CN96:CS96)&gt;CS97+0+$B$18,1,0))</f>
        <v>0</v>
      </c>
      <c r="CT99" s="364" t="n">
        <f aca="false">IF(94&lt;5,0,IF(MAX(CO96:CT96)&gt;CT97+0+$B$18,1,0))</f>
        <v>0</v>
      </c>
      <c r="CU99" s="364" t="n">
        <f aca="false">IF(95&lt;5,0,IF(MAX(CP96:CU96)&gt;CU97+0+$B$18,1,0))</f>
        <v>0</v>
      </c>
      <c r="CV99" s="364" t="n">
        <f aca="false">IF(96&lt;5,0,IF(MAX(CQ96:CV96)&gt;CV97+0+$B$18,1,0))</f>
        <v>0</v>
      </c>
      <c r="CW99" s="364" t="n">
        <f aca="false">IF(97&lt;5,0,IF(MAX(CR96:CW96)&gt;CW97+0+$B$18,1,0))</f>
        <v>0</v>
      </c>
      <c r="CX99" s="364" t="n">
        <f aca="false">IF(98&lt;5,0,IF(MAX(CS96:CX96)&gt;CX97+0+$B$18,1,0))</f>
        <v>0</v>
      </c>
      <c r="CY99" s="364" t="n">
        <f aca="false">IF(99&lt;5,0,IF(MAX(CT96:CY96)&gt;CY97+0+$B$18,1,0))</f>
        <v>0</v>
      </c>
      <c r="CZ99" s="364" t="n">
        <f aca="false">IF(100&lt;5,0,IF(MAX(CU96:CZ96)&gt;CZ97+0+$B$18,1,0))</f>
        <v>0</v>
      </c>
      <c r="DA99" s="364" t="n">
        <f aca="false">IF(101&lt;5,0,IF(MAX(CV96:DA96)&gt;DA97+0+$B$18,1,0))</f>
        <v>0</v>
      </c>
      <c r="DB99" s="364" t="n">
        <f aca="false">IF(102&lt;5,0,IF(MAX(CW96:DB96)&gt;DB97+0+$B$18,1,0))</f>
        <v>0</v>
      </c>
      <c r="DC99" s="364" t="n">
        <f aca="false">IF(103&lt;5,0,IF(MAX(CX96:DC96)&gt;DC97+0+$B$18,1,0))</f>
        <v>0</v>
      </c>
      <c r="DD99" s="364" t="n">
        <f aca="false">IF(104&lt;5,0,IF(MAX(CY96:DD96)&gt;DD97+0+$B$18,1,0))</f>
        <v>0</v>
      </c>
      <c r="DE99" s="364" t="n">
        <f aca="false">IF(105&lt;5,0,IF(MAX(CZ96:DE96)&gt;DE97+0+$B$18,1,0))</f>
        <v>0</v>
      </c>
    </row>
    <row r="100" customFormat="false" ht="13.5" hidden="false" customHeight="true" outlineLevel="0" collapsed="false">
      <c r="A100" s="109" t="s">
        <v>1257</v>
      </c>
      <c r="B100" s="223" t="n">
        <f aca="false">$B$27</f>
        <v>125000</v>
      </c>
      <c r="E100" s="364" t="n">
        <f aca="false">IF(1&lt;5,0,IF(MAX(E96)&gt;E97+1+$B$18,1,0))</f>
        <v>0</v>
      </c>
      <c r="F100" s="364" t="n">
        <f aca="false">IF(2&lt;5,0,IF(MAX(E96:F96)&gt;F97+1+$B$18,1,0))</f>
        <v>0</v>
      </c>
      <c r="G100" s="364" t="n">
        <f aca="false">IF(3&lt;5,0,IF(MAX(E96:G96)&gt;G97+1+$B$18,1,0))</f>
        <v>0</v>
      </c>
      <c r="H100" s="364" t="n">
        <f aca="false">IF(4&lt;5,0,IF(MAX(E96:H96)&gt;H97+1+$B$18,1,0))</f>
        <v>0</v>
      </c>
      <c r="I100" s="364" t="n">
        <f aca="false">IF(5&lt;5,0,IF(MAX(E96:I96)&gt;I97+1+$B$18,1,0))</f>
        <v>0</v>
      </c>
      <c r="J100" s="364" t="n">
        <f aca="false">IF(6&lt;5,0,IF(MAX(E96:J96)&gt;J97+1+$B$18,1,0))</f>
        <v>0</v>
      </c>
      <c r="K100" s="364" t="n">
        <f aca="false">IF(7&lt;5,0,IF(MAX(F96:K96)&gt;K97+1+$B$18,1,0))</f>
        <v>0</v>
      </c>
      <c r="L100" s="364" t="n">
        <f aca="false">IF(8&lt;5,0,IF(MAX(G96:L96)&gt;L97+1+$B$18,1,0))</f>
        <v>0</v>
      </c>
      <c r="M100" s="364" t="n">
        <f aca="false">IF(9&lt;5,0,IF(MAX(H96:M96)&gt;M97+1+$B$18,1,0))</f>
        <v>0</v>
      </c>
      <c r="N100" s="364" t="n">
        <f aca="false">IF(10&lt;5,0,IF(MAX(I96:N96)&gt;N97+1+$B$18,1,0))</f>
        <v>0</v>
      </c>
      <c r="O100" s="364" t="n">
        <f aca="false">IF(11&lt;5,0,IF(MAX(J96:O96)&gt;O97+1+$B$18,1,0))</f>
        <v>0</v>
      </c>
      <c r="P100" s="364" t="n">
        <f aca="false">IF(12&lt;5,0,IF(MAX(K96:P96)&gt;P97+1+$B$18,1,0))</f>
        <v>0</v>
      </c>
      <c r="Q100" s="364" t="n">
        <f aca="false">IF(13&lt;5,0,IF(MAX(L96:Q96)&gt;Q97+1+$B$18,1,0))</f>
        <v>0</v>
      </c>
      <c r="R100" s="364" t="n">
        <f aca="false">IF(14&lt;5,0,IF(MAX(M96:R96)&gt;R97+1+$B$18,1,0))</f>
        <v>0</v>
      </c>
      <c r="S100" s="364" t="n">
        <f aca="false">IF(15&lt;5,0,IF(MAX(N96:S96)&gt;S97+1+$B$18,1,0))</f>
        <v>1</v>
      </c>
      <c r="T100" s="364" t="n">
        <f aca="false">IF(16&lt;5,0,IF(MAX(O96:T96)&gt;T97+1+$B$18,1,0))</f>
        <v>1</v>
      </c>
      <c r="U100" s="364" t="n">
        <f aca="false">IF(17&lt;5,0,IF(MAX(P96:U96)&gt;U97+1+$B$18,1,0))</f>
        <v>1</v>
      </c>
      <c r="V100" s="364" t="n">
        <f aca="false">IF(18&lt;5,0,IF(MAX(Q96:V96)&gt;V97+1+$B$18,1,0))</f>
        <v>1</v>
      </c>
      <c r="W100" s="364" t="n">
        <f aca="false">IF(19&lt;5,0,IF(MAX(R96:W96)&gt;W97+1+$B$18,1,0))</f>
        <v>1</v>
      </c>
      <c r="X100" s="364" t="n">
        <f aca="false">IF(20&lt;5,0,IF(MAX(S96:X96)&gt;X97+1+$B$18,1,0))</f>
        <v>1</v>
      </c>
      <c r="Y100" s="364" t="n">
        <f aca="false">IF(21&lt;5,0,IF(MAX(T96:Y96)&gt;Y97+1+$B$18,1,0))</f>
        <v>1</v>
      </c>
      <c r="Z100" s="364" t="n">
        <f aca="false">IF(22&lt;5,0,IF(MAX(U96:Z96)&gt;Z97+1+$B$18,1,0))</f>
        <v>1</v>
      </c>
      <c r="AA100" s="364" t="n">
        <f aca="false">IF(23&lt;5,0,IF(MAX(V96:AA96)&gt;AA97+1+$B$18,1,0))</f>
        <v>1</v>
      </c>
      <c r="AB100" s="364" t="n">
        <f aca="false">IF(24&lt;5,0,IF(MAX(W96:AB96)&gt;AB97+1+$B$18,1,0))</f>
        <v>0</v>
      </c>
      <c r="AC100" s="364" t="n">
        <f aca="false">IF(25&lt;5,0,IF(MAX(X96:AC96)&gt;AC97+1+$B$18,1,0))</f>
        <v>0</v>
      </c>
      <c r="AD100" s="364" t="n">
        <f aca="false">IF(26&lt;5,0,IF(MAX(Y96:AD96)&gt;AD97+1+$B$18,1,0))</f>
        <v>0</v>
      </c>
      <c r="AE100" s="364" t="n">
        <f aca="false">IF(27&lt;5,0,IF(MAX(Z96:AE96)&gt;AE97+1+$B$18,1,0))</f>
        <v>0</v>
      </c>
      <c r="AF100" s="364" t="n">
        <f aca="false">IF(28&lt;5,0,IF(MAX(AA96:AF96)&gt;AF97+1+$B$18,1,0))</f>
        <v>0</v>
      </c>
      <c r="AG100" s="364" t="n">
        <f aca="false">IF(29&lt;5,0,IF(MAX(AB96:AG96)&gt;AG97+1+$B$18,1,0))</f>
        <v>0</v>
      </c>
      <c r="AH100" s="364" t="n">
        <f aca="false">IF(30&lt;5,0,IF(MAX(AC96:AH96)&gt;AH97+1+$B$18,1,0))</f>
        <v>0</v>
      </c>
      <c r="AI100" s="364" t="n">
        <f aca="false">IF(31&lt;5,0,IF(MAX(AD96:AI96)&gt;AI97+1+$B$18,1,0))</f>
        <v>0</v>
      </c>
      <c r="AJ100" s="364" t="n">
        <f aca="false">IF(32&lt;5,0,IF(MAX(AE96:AJ96)&gt;AJ97+1+$B$18,1,0))</f>
        <v>0</v>
      </c>
      <c r="AK100" s="364" t="n">
        <f aca="false">IF(33&lt;5,0,IF(MAX(AF96:AK96)&gt;AK97+1+$B$18,1,0))</f>
        <v>0</v>
      </c>
      <c r="AL100" s="364" t="n">
        <f aca="false">IF(34&lt;5,0,IF(MAX(AG96:AL96)&gt;AL97+1+$B$18,1,0))</f>
        <v>0</v>
      </c>
      <c r="AM100" s="364" t="n">
        <f aca="false">IF(35&lt;5,0,IF(MAX(AH96:AM96)&gt;AM97+1+$B$18,1,0))</f>
        <v>0</v>
      </c>
      <c r="AN100" s="364" t="n">
        <f aca="false">IF(36&lt;5,0,IF(MAX(AI96:AN96)&gt;AN97+1+$B$18,1,0))</f>
        <v>0</v>
      </c>
      <c r="AO100" s="364" t="n">
        <f aca="false">IF(37&lt;5,0,IF(MAX(AJ96:AO96)&gt;AO97+1+$B$18,1,0))</f>
        <v>0</v>
      </c>
      <c r="AP100" s="364" t="n">
        <f aca="false">IF(38&lt;5,0,IF(MAX(AK96:AP96)&gt;AP97+1+$B$18,1,0))</f>
        <v>0</v>
      </c>
      <c r="AQ100" s="364" t="n">
        <f aca="false">IF(39&lt;5,0,IF(MAX(AL96:AQ96)&gt;AQ97+1+$B$18,1,0))</f>
        <v>0</v>
      </c>
      <c r="AR100" s="364" t="n">
        <f aca="false">IF(40&lt;5,0,IF(MAX(AM96:AR96)&gt;AR97+1+$B$18,1,0))</f>
        <v>0</v>
      </c>
      <c r="AS100" s="364" t="n">
        <f aca="false">IF(41&lt;5,0,IF(MAX(AN96:AS96)&gt;AS97+1+$B$18,1,0))</f>
        <v>0</v>
      </c>
      <c r="AT100" s="364" t="n">
        <f aca="false">IF(42&lt;5,0,IF(MAX(AO96:AT96)&gt;AT97+1+$B$18,1,0))</f>
        <v>0</v>
      </c>
      <c r="AU100" s="364" t="n">
        <f aca="false">IF(43&lt;5,0,IF(MAX(AP96:AU96)&gt;AU97+1+$B$18,1,0))</f>
        <v>0</v>
      </c>
      <c r="AV100" s="364" t="n">
        <f aca="false">IF(44&lt;5,0,IF(MAX(AQ96:AV96)&gt;AV97+1+$B$18,1,0))</f>
        <v>0</v>
      </c>
      <c r="AW100" s="364" t="n">
        <f aca="false">IF(45&lt;5,0,IF(MAX(AR96:AW96)&gt;AW97+1+$B$18,1,0))</f>
        <v>0</v>
      </c>
      <c r="AX100" s="364" t="n">
        <f aca="false">IF(46&lt;5,0,IF(MAX(AS96:AX96)&gt;AX97+1+$B$18,1,0))</f>
        <v>0</v>
      </c>
      <c r="AY100" s="364" t="n">
        <f aca="false">IF(47&lt;5,0,IF(MAX(AT96:AY96)&gt;AY97+1+$B$18,1,0))</f>
        <v>0</v>
      </c>
      <c r="AZ100" s="364" t="n">
        <f aca="false">IF(48&lt;5,0,IF(MAX(AU96:AZ96)&gt;AZ97+1+$B$18,1,0))</f>
        <v>0</v>
      </c>
      <c r="BA100" s="364" t="n">
        <f aca="false">IF(49&lt;5,0,IF(MAX(AV96:BA96)&gt;BA97+1+$B$18,1,0))</f>
        <v>0</v>
      </c>
      <c r="BB100" s="364" t="n">
        <f aca="false">IF(50&lt;5,0,IF(MAX(AW96:BB96)&gt;BB97+1+$B$18,1,0))</f>
        <v>0</v>
      </c>
      <c r="BC100" s="364" t="n">
        <f aca="false">IF(51&lt;5,0,IF(MAX(AX96:BC96)&gt;BC97+1+$B$18,1,0))</f>
        <v>0</v>
      </c>
      <c r="BD100" s="364" t="n">
        <f aca="false">IF(52&lt;5,0,IF(MAX(AY96:BD96)&gt;BD97+1+$B$18,1,0))</f>
        <v>0</v>
      </c>
      <c r="BE100" s="364" t="n">
        <f aca="false">IF(53&lt;5,0,IF(MAX(AZ96:BE96)&gt;BE97+1+$B$18,1,0))</f>
        <v>0</v>
      </c>
      <c r="BF100" s="364" t="n">
        <f aca="false">IF(54&lt;5,0,IF(MAX(BA96:BF96)&gt;BF97+1+$B$18,1,0))</f>
        <v>0</v>
      </c>
      <c r="BG100" s="364" t="n">
        <f aca="false">IF(55&lt;5,0,IF(MAX(BB96:BG96)&gt;BG97+1+$B$18,1,0))</f>
        <v>0</v>
      </c>
      <c r="BH100" s="364" t="n">
        <f aca="false">IF(56&lt;5,0,IF(MAX(BC96:BH96)&gt;BH97+1+$B$18,1,0))</f>
        <v>0</v>
      </c>
      <c r="BI100" s="364" t="n">
        <f aca="false">IF(57&lt;5,0,IF(MAX(BD96:BI96)&gt;BI97+1+$B$18,1,0))</f>
        <v>0</v>
      </c>
      <c r="BJ100" s="364" t="n">
        <f aca="false">IF(58&lt;5,0,IF(MAX(BE96:BJ96)&gt;BJ97+1+$B$18,1,0))</f>
        <v>0</v>
      </c>
      <c r="BK100" s="364" t="n">
        <f aca="false">IF(59&lt;5,0,IF(MAX(BF96:BK96)&gt;BK97+1+$B$18,1,0))</f>
        <v>0</v>
      </c>
      <c r="BL100" s="364" t="n">
        <f aca="false">IF(60&lt;5,0,IF(MAX(BG96:BL96)&gt;BL97+1+$B$18,1,0))</f>
        <v>0</v>
      </c>
      <c r="BM100" s="364" t="n">
        <f aca="false">IF(61&lt;5,0,IF(MAX(BH96:BM96)&gt;BM97+1+$B$18,1,0))</f>
        <v>0</v>
      </c>
      <c r="BN100" s="364" t="n">
        <f aca="false">IF(62&lt;5,0,IF(MAX(BI96:BN96)&gt;BN97+1+$B$18,1,0))</f>
        <v>0</v>
      </c>
      <c r="BO100" s="364" t="n">
        <f aca="false">IF(63&lt;5,0,IF(MAX(BJ96:BO96)&gt;BO97+1+$B$18,1,0))</f>
        <v>0</v>
      </c>
      <c r="BP100" s="364" t="n">
        <f aca="false">IF(64&lt;5,0,IF(MAX(BK96:BP96)&gt;BP97+1+$B$18,1,0))</f>
        <v>0</v>
      </c>
      <c r="BQ100" s="364" t="n">
        <f aca="false">IF(65&lt;5,0,IF(MAX(BL96:BQ96)&gt;BQ97+1+$B$18,1,0))</f>
        <v>0</v>
      </c>
      <c r="BR100" s="364" t="n">
        <f aca="false">IF(66&lt;5,0,IF(MAX(BM96:BR96)&gt;BR97+1+$B$18,1,0))</f>
        <v>0</v>
      </c>
      <c r="BS100" s="364" t="n">
        <f aca="false">IF(67&lt;5,0,IF(MAX(BN96:BS96)&gt;BS97+1+$B$18,1,0))</f>
        <v>0</v>
      </c>
      <c r="BT100" s="364" t="n">
        <f aca="false">IF(68&lt;5,0,IF(MAX(BO96:BT96)&gt;BT97+1+$B$18,1,0))</f>
        <v>0</v>
      </c>
      <c r="BU100" s="364" t="n">
        <f aca="false">IF(69&lt;5,0,IF(MAX(BP96:BU96)&gt;BU97+1+$B$18,1,0))</f>
        <v>0</v>
      </c>
      <c r="BV100" s="364" t="n">
        <f aca="false">IF(70&lt;5,0,IF(MAX(BQ96:BV96)&gt;BV97+1+$B$18,1,0))</f>
        <v>0</v>
      </c>
      <c r="BW100" s="364" t="n">
        <f aca="false">IF(71&lt;5,0,IF(MAX(BR96:BW96)&gt;BW97+1+$B$18,1,0))</f>
        <v>0</v>
      </c>
      <c r="BX100" s="364" t="n">
        <f aca="false">IF(72&lt;5,0,IF(MAX(BS96:BX96)&gt;BX97+1+$B$18,1,0))</f>
        <v>0</v>
      </c>
      <c r="BY100" s="364" t="n">
        <f aca="false">IF(73&lt;5,0,IF(MAX(BT96:BY96)&gt;BY97+1+$B$18,1,0))</f>
        <v>0</v>
      </c>
      <c r="BZ100" s="364" t="n">
        <f aca="false">IF(74&lt;5,0,IF(MAX(BU96:BZ96)&gt;BZ97+1+$B$18,1,0))</f>
        <v>0</v>
      </c>
      <c r="CA100" s="364" t="n">
        <f aca="false">IF(75&lt;5,0,IF(MAX(BV96:CA96)&gt;CA97+1+$B$18,1,0))</f>
        <v>0</v>
      </c>
      <c r="CB100" s="364" t="n">
        <f aca="false">IF(76&lt;5,0,IF(MAX(BW96:CB96)&gt;CB97+1+$B$18,1,0))</f>
        <v>0</v>
      </c>
      <c r="CC100" s="364" t="n">
        <f aca="false">IF(77&lt;5,0,IF(MAX(BX96:CC96)&gt;CC97+1+$B$18,1,0))</f>
        <v>0</v>
      </c>
      <c r="CD100" s="364" t="n">
        <f aca="false">IF(78&lt;5,0,IF(MAX(BY96:CD96)&gt;CD97+1+$B$18,1,0))</f>
        <v>0</v>
      </c>
      <c r="CE100" s="364" t="n">
        <f aca="false">IF(79&lt;5,0,IF(MAX(BZ96:CE96)&gt;CE97+1+$B$18,1,0))</f>
        <v>0</v>
      </c>
      <c r="CF100" s="364" t="n">
        <f aca="false">IF(80&lt;5,0,IF(MAX(CA96:CF96)&gt;CF97+1+$B$18,1,0))</f>
        <v>0</v>
      </c>
      <c r="CG100" s="364" t="n">
        <f aca="false">IF(81&lt;5,0,IF(MAX(CB96:CG96)&gt;CG97+1+$B$18,1,0))</f>
        <v>0</v>
      </c>
      <c r="CH100" s="364" t="n">
        <f aca="false">IF(82&lt;5,0,IF(MAX(CC96:CH96)&gt;CH97+1+$B$18,1,0))</f>
        <v>0</v>
      </c>
      <c r="CI100" s="364" t="n">
        <f aca="false">IF(83&lt;5,0,IF(MAX(CD96:CI96)&gt;CI97+1+$B$18,1,0))</f>
        <v>0</v>
      </c>
      <c r="CJ100" s="364" t="n">
        <f aca="false">IF(84&lt;5,0,IF(MAX(CE96:CJ96)&gt;CJ97+1+$B$18,1,0))</f>
        <v>0</v>
      </c>
      <c r="CK100" s="364" t="n">
        <f aca="false">IF(85&lt;5,0,IF(MAX(CF96:CK96)&gt;CK97+1+$B$18,1,0))</f>
        <v>0</v>
      </c>
      <c r="CL100" s="364" t="n">
        <f aca="false">IF(86&lt;5,0,IF(MAX(CG96:CL96)&gt;CL97+1+$B$18,1,0))</f>
        <v>0</v>
      </c>
      <c r="CM100" s="364" t="n">
        <f aca="false">IF(87&lt;5,0,IF(MAX(CH96:CM96)&gt;CM97+1+$B$18,1,0))</f>
        <v>0</v>
      </c>
      <c r="CN100" s="364" t="n">
        <f aca="false">IF(88&lt;5,0,IF(MAX(CI96:CN96)&gt;CN97+1+$B$18,1,0))</f>
        <v>0</v>
      </c>
      <c r="CO100" s="364" t="n">
        <f aca="false">IF(89&lt;5,0,IF(MAX(CJ96:CO96)&gt;CO97+1+$B$18,1,0))</f>
        <v>0</v>
      </c>
      <c r="CP100" s="364" t="n">
        <f aca="false">IF(90&lt;5,0,IF(MAX(CK96:CP96)&gt;CP97+1+$B$18,1,0))</f>
        <v>0</v>
      </c>
      <c r="CQ100" s="364" t="n">
        <f aca="false">IF(91&lt;5,0,IF(MAX(CL96:CQ96)&gt;CQ97+1+$B$18,1,0))</f>
        <v>0</v>
      </c>
      <c r="CR100" s="364" t="n">
        <f aca="false">IF(92&lt;5,0,IF(MAX(CM96:CR96)&gt;CR97+1+$B$18,1,0))</f>
        <v>0</v>
      </c>
      <c r="CS100" s="364" t="n">
        <f aca="false">IF(93&lt;5,0,IF(MAX(CN96:CS96)&gt;CS97+1+$B$18,1,0))</f>
        <v>0</v>
      </c>
      <c r="CT100" s="364" t="n">
        <f aca="false">IF(94&lt;5,0,IF(MAX(CO96:CT96)&gt;CT97+1+$B$18,1,0))</f>
        <v>0</v>
      </c>
      <c r="CU100" s="364" t="n">
        <f aca="false">IF(95&lt;5,0,IF(MAX(CP96:CU96)&gt;CU97+1+$B$18,1,0))</f>
        <v>0</v>
      </c>
      <c r="CV100" s="364" t="n">
        <f aca="false">IF(96&lt;5,0,IF(MAX(CQ96:CV96)&gt;CV97+1+$B$18,1,0))</f>
        <v>0</v>
      </c>
      <c r="CW100" s="364" t="n">
        <f aca="false">IF(97&lt;5,0,IF(MAX(CR96:CW96)&gt;CW97+1+$B$18,1,0))</f>
        <v>0</v>
      </c>
      <c r="CX100" s="364" t="n">
        <f aca="false">IF(98&lt;5,0,IF(MAX(CS96:CX96)&gt;CX97+1+$B$18,1,0))</f>
        <v>0</v>
      </c>
      <c r="CY100" s="364" t="n">
        <f aca="false">IF(99&lt;5,0,IF(MAX(CT96:CY96)&gt;CY97+1+$B$18,1,0))</f>
        <v>0</v>
      </c>
      <c r="CZ100" s="364" t="n">
        <f aca="false">IF(100&lt;5,0,IF(MAX(CU96:CZ96)&gt;CZ97+1+$B$18,1,0))</f>
        <v>0</v>
      </c>
      <c r="DA100" s="364" t="n">
        <f aca="false">IF(101&lt;5,0,IF(MAX(CV96:DA96)&gt;DA97+1+$B$18,1,0))</f>
        <v>0</v>
      </c>
      <c r="DB100" s="364" t="n">
        <f aca="false">IF(102&lt;5,0,IF(MAX(CW96:DB96)&gt;DB97+1+$B$18,1,0))</f>
        <v>0</v>
      </c>
      <c r="DC100" s="364" t="n">
        <f aca="false">IF(103&lt;5,0,IF(MAX(CX96:DC96)&gt;DC97+1+$B$18,1,0))</f>
        <v>0</v>
      </c>
      <c r="DD100" s="364" t="n">
        <f aca="false">IF(104&lt;5,0,IF(MAX(CY96:DD96)&gt;DD97+1+$B$18,1,0))</f>
        <v>0</v>
      </c>
      <c r="DE100" s="364" t="n">
        <f aca="false">IF(105&lt;5,0,IF(MAX(CZ96:DE96)&gt;DE97+1+$B$18,1,0))</f>
        <v>0</v>
      </c>
    </row>
    <row r="101" customFormat="false" ht="13.5" hidden="false" customHeight="true" outlineLevel="0" collapsed="false">
      <c r="A101" s="109" t="s">
        <v>1258</v>
      </c>
      <c r="B101" s="223" t="n">
        <f aca="false">$B$27</f>
        <v>125000</v>
      </c>
      <c r="E101" s="364" t="n">
        <f aca="false">IF(1&lt;5,0,IF(MAX(E96)&gt;E97+2+$B$18,1,0))</f>
        <v>0</v>
      </c>
      <c r="F101" s="364" t="n">
        <f aca="false">IF(2&lt;5,0,IF(MAX(E96:F96)&gt;F97+2+$B$18,1,0))</f>
        <v>0</v>
      </c>
      <c r="G101" s="364" t="n">
        <f aca="false">IF(3&lt;5,0,IF(MAX(E96:G96)&gt;G97+2+$B$18,1,0))</f>
        <v>0</v>
      </c>
      <c r="H101" s="364" t="n">
        <f aca="false">IF(4&lt;5,0,IF(MAX(E96:H96)&gt;H97+2+$B$18,1,0))</f>
        <v>0</v>
      </c>
      <c r="I101" s="364" t="n">
        <f aca="false">IF(5&lt;5,0,IF(MAX(E96:I96)&gt;I97+2+$B$18,1,0))</f>
        <v>0</v>
      </c>
      <c r="J101" s="364" t="n">
        <f aca="false">IF(6&lt;5,0,IF(MAX(E96:J96)&gt;J97+2+$B$18,1,0))</f>
        <v>0</v>
      </c>
      <c r="K101" s="364" t="n">
        <f aca="false">IF(7&lt;5,0,IF(MAX(F96:K96)&gt;K97+2+$B$18,1,0))</f>
        <v>0</v>
      </c>
      <c r="L101" s="364" t="n">
        <f aca="false">IF(8&lt;5,0,IF(MAX(G96:L96)&gt;L97+2+$B$18,1,0))</f>
        <v>0</v>
      </c>
      <c r="M101" s="364" t="n">
        <f aca="false">IF(9&lt;5,0,IF(MAX(H96:M96)&gt;M97+2+$B$18,1,0))</f>
        <v>0</v>
      </c>
      <c r="N101" s="364" t="n">
        <f aca="false">IF(10&lt;5,0,IF(MAX(I96:N96)&gt;N97+2+$B$18,1,0))</f>
        <v>0</v>
      </c>
      <c r="O101" s="364" t="n">
        <f aca="false">IF(11&lt;5,0,IF(MAX(J96:O96)&gt;O97+2+$B$18,1,0))</f>
        <v>0</v>
      </c>
      <c r="P101" s="364" t="n">
        <f aca="false">IF(12&lt;5,0,IF(MAX(K96:P96)&gt;P97+2+$B$18,1,0))</f>
        <v>0</v>
      </c>
      <c r="Q101" s="364" t="n">
        <f aca="false">IF(13&lt;5,0,IF(MAX(L96:Q96)&gt;Q97+2+$B$18,1,0))</f>
        <v>0</v>
      </c>
      <c r="R101" s="364" t="n">
        <f aca="false">IF(14&lt;5,0,IF(MAX(M96:R96)&gt;R97+2+$B$18,1,0))</f>
        <v>0</v>
      </c>
      <c r="S101" s="364" t="n">
        <f aca="false">IF(15&lt;5,0,IF(MAX(N96:S96)&gt;S97+2+$B$18,1,0))</f>
        <v>0</v>
      </c>
      <c r="T101" s="364" t="n">
        <f aca="false">IF(16&lt;5,0,IF(MAX(O96:T96)&gt;T97+2+$B$18,1,0))</f>
        <v>0</v>
      </c>
      <c r="U101" s="364" t="n">
        <f aca="false">IF(17&lt;5,0,IF(MAX(P96:U96)&gt;U97+2+$B$18,1,0))</f>
        <v>0</v>
      </c>
      <c r="V101" s="364" t="n">
        <f aca="false">IF(18&lt;5,0,IF(MAX(Q96:V96)&gt;V97+2+$B$18,1,0))</f>
        <v>0</v>
      </c>
      <c r="W101" s="364" t="n">
        <f aca="false">IF(19&lt;5,0,IF(MAX(R96:W96)&gt;W97+2+$B$18,1,0))</f>
        <v>0</v>
      </c>
      <c r="X101" s="364" t="n">
        <f aca="false">IF(20&lt;5,0,IF(MAX(S96:X96)&gt;X97+2+$B$18,1,0))</f>
        <v>0</v>
      </c>
      <c r="Y101" s="364" t="n">
        <f aca="false">IF(21&lt;5,0,IF(MAX(T96:Y96)&gt;Y97+2+$B$18,1,0))</f>
        <v>0</v>
      </c>
      <c r="Z101" s="364" t="n">
        <f aca="false">IF(22&lt;5,0,IF(MAX(U96:Z96)&gt;Z97+2+$B$18,1,0))</f>
        <v>0</v>
      </c>
      <c r="AA101" s="364" t="n">
        <f aca="false">IF(23&lt;5,0,IF(MAX(V96:AA96)&gt;AA97+2+$B$18,1,0))</f>
        <v>0</v>
      </c>
      <c r="AB101" s="364" t="n">
        <f aca="false">IF(24&lt;5,0,IF(MAX(W96:AB96)&gt;AB97+2+$B$18,1,0))</f>
        <v>0</v>
      </c>
      <c r="AC101" s="364" t="n">
        <f aca="false">IF(25&lt;5,0,IF(MAX(X96:AC96)&gt;AC97+2+$B$18,1,0))</f>
        <v>0</v>
      </c>
      <c r="AD101" s="364" t="n">
        <f aca="false">IF(26&lt;5,0,IF(MAX(Y96:AD96)&gt;AD97+2+$B$18,1,0))</f>
        <v>0</v>
      </c>
      <c r="AE101" s="364" t="n">
        <f aca="false">IF(27&lt;5,0,IF(MAX(Z96:AE96)&gt;AE97+2+$B$18,1,0))</f>
        <v>0</v>
      </c>
      <c r="AF101" s="364" t="n">
        <f aca="false">IF(28&lt;5,0,IF(MAX(AA96:AF96)&gt;AF97+2+$B$18,1,0))</f>
        <v>0</v>
      </c>
      <c r="AG101" s="364" t="n">
        <f aca="false">IF(29&lt;5,0,IF(MAX(AB96:AG96)&gt;AG97+2+$B$18,1,0))</f>
        <v>0</v>
      </c>
      <c r="AH101" s="364" t="n">
        <f aca="false">IF(30&lt;5,0,IF(MAX(AC96:AH96)&gt;AH97+2+$B$18,1,0))</f>
        <v>0</v>
      </c>
      <c r="AI101" s="364" t="n">
        <f aca="false">IF(31&lt;5,0,IF(MAX(AD96:AI96)&gt;AI97+2+$B$18,1,0))</f>
        <v>0</v>
      </c>
      <c r="AJ101" s="364" t="n">
        <f aca="false">IF(32&lt;5,0,IF(MAX(AE96:AJ96)&gt;AJ97+2+$B$18,1,0))</f>
        <v>0</v>
      </c>
      <c r="AK101" s="364" t="n">
        <f aca="false">IF(33&lt;5,0,IF(MAX(AF96:AK96)&gt;AK97+2+$B$18,1,0))</f>
        <v>0</v>
      </c>
      <c r="AL101" s="364" t="n">
        <f aca="false">IF(34&lt;5,0,IF(MAX(AG96:AL96)&gt;AL97+2+$B$18,1,0))</f>
        <v>0</v>
      </c>
      <c r="AM101" s="364" t="n">
        <f aca="false">IF(35&lt;5,0,IF(MAX(AH96:AM96)&gt;AM97+2+$B$18,1,0))</f>
        <v>0</v>
      </c>
      <c r="AN101" s="364" t="n">
        <f aca="false">IF(36&lt;5,0,IF(MAX(AI96:AN96)&gt;AN97+2+$B$18,1,0))</f>
        <v>0</v>
      </c>
      <c r="AO101" s="364" t="n">
        <f aca="false">IF(37&lt;5,0,IF(MAX(AJ96:AO96)&gt;AO97+2+$B$18,1,0))</f>
        <v>0</v>
      </c>
      <c r="AP101" s="364" t="n">
        <f aca="false">IF(38&lt;5,0,IF(MAX(AK96:AP96)&gt;AP97+2+$B$18,1,0))</f>
        <v>0</v>
      </c>
      <c r="AQ101" s="364" t="n">
        <f aca="false">IF(39&lt;5,0,IF(MAX(AL96:AQ96)&gt;AQ97+2+$B$18,1,0))</f>
        <v>0</v>
      </c>
      <c r="AR101" s="364" t="n">
        <f aca="false">IF(40&lt;5,0,IF(MAX(AM96:AR96)&gt;AR97+2+$B$18,1,0))</f>
        <v>0</v>
      </c>
      <c r="AS101" s="364" t="n">
        <f aca="false">IF(41&lt;5,0,IF(MAX(AN96:AS96)&gt;AS97+2+$B$18,1,0))</f>
        <v>0</v>
      </c>
      <c r="AT101" s="364" t="n">
        <f aca="false">IF(42&lt;5,0,IF(MAX(AO96:AT96)&gt;AT97+2+$B$18,1,0))</f>
        <v>0</v>
      </c>
      <c r="AU101" s="364" t="n">
        <f aca="false">IF(43&lt;5,0,IF(MAX(AP96:AU96)&gt;AU97+2+$B$18,1,0))</f>
        <v>0</v>
      </c>
      <c r="AV101" s="364" t="n">
        <f aca="false">IF(44&lt;5,0,IF(MAX(AQ96:AV96)&gt;AV97+2+$B$18,1,0))</f>
        <v>0</v>
      </c>
      <c r="AW101" s="364" t="n">
        <f aca="false">IF(45&lt;5,0,IF(MAX(AR96:AW96)&gt;AW97+2+$B$18,1,0))</f>
        <v>0</v>
      </c>
      <c r="AX101" s="364" t="n">
        <f aca="false">IF(46&lt;5,0,IF(MAX(AS96:AX96)&gt;AX97+2+$B$18,1,0))</f>
        <v>0</v>
      </c>
      <c r="AY101" s="364" t="n">
        <f aca="false">IF(47&lt;5,0,IF(MAX(AT96:AY96)&gt;AY97+2+$B$18,1,0))</f>
        <v>0</v>
      </c>
      <c r="AZ101" s="364" t="n">
        <f aca="false">IF(48&lt;5,0,IF(MAX(AU96:AZ96)&gt;AZ97+2+$B$18,1,0))</f>
        <v>0</v>
      </c>
      <c r="BA101" s="364" t="n">
        <f aca="false">IF(49&lt;5,0,IF(MAX(AV96:BA96)&gt;BA97+2+$B$18,1,0))</f>
        <v>0</v>
      </c>
      <c r="BB101" s="364" t="n">
        <f aca="false">IF(50&lt;5,0,IF(MAX(AW96:BB96)&gt;BB97+2+$B$18,1,0))</f>
        <v>0</v>
      </c>
      <c r="BC101" s="364" t="n">
        <f aca="false">IF(51&lt;5,0,IF(MAX(AX96:BC96)&gt;BC97+2+$B$18,1,0))</f>
        <v>0</v>
      </c>
      <c r="BD101" s="364" t="n">
        <f aca="false">IF(52&lt;5,0,IF(MAX(AY96:BD96)&gt;BD97+2+$B$18,1,0))</f>
        <v>0</v>
      </c>
      <c r="BE101" s="364" t="n">
        <f aca="false">IF(53&lt;5,0,IF(MAX(AZ96:BE96)&gt;BE97+2+$B$18,1,0))</f>
        <v>0</v>
      </c>
      <c r="BF101" s="364" t="n">
        <f aca="false">IF(54&lt;5,0,IF(MAX(BA96:BF96)&gt;BF97+2+$B$18,1,0))</f>
        <v>0</v>
      </c>
      <c r="BG101" s="364" t="n">
        <f aca="false">IF(55&lt;5,0,IF(MAX(BB96:BG96)&gt;BG97+2+$B$18,1,0))</f>
        <v>0</v>
      </c>
      <c r="BH101" s="364" t="n">
        <f aca="false">IF(56&lt;5,0,IF(MAX(BC96:BH96)&gt;BH97+2+$B$18,1,0))</f>
        <v>0</v>
      </c>
      <c r="BI101" s="364" t="n">
        <f aca="false">IF(57&lt;5,0,IF(MAX(BD96:BI96)&gt;BI97+2+$B$18,1,0))</f>
        <v>0</v>
      </c>
      <c r="BJ101" s="364" t="n">
        <f aca="false">IF(58&lt;5,0,IF(MAX(BE96:BJ96)&gt;BJ97+2+$B$18,1,0))</f>
        <v>0</v>
      </c>
      <c r="BK101" s="364" t="n">
        <f aca="false">IF(59&lt;5,0,IF(MAX(BF96:BK96)&gt;BK97+2+$B$18,1,0))</f>
        <v>0</v>
      </c>
      <c r="BL101" s="364" t="n">
        <f aca="false">IF(60&lt;5,0,IF(MAX(BG96:BL96)&gt;BL97+2+$B$18,1,0))</f>
        <v>0</v>
      </c>
      <c r="BM101" s="364" t="n">
        <f aca="false">IF(61&lt;5,0,IF(MAX(BH96:BM96)&gt;BM97+2+$B$18,1,0))</f>
        <v>0</v>
      </c>
      <c r="BN101" s="364" t="n">
        <f aca="false">IF(62&lt;5,0,IF(MAX(BI96:BN96)&gt;BN97+2+$B$18,1,0))</f>
        <v>0</v>
      </c>
      <c r="BO101" s="364" t="n">
        <f aca="false">IF(63&lt;5,0,IF(MAX(BJ96:BO96)&gt;BO97+2+$B$18,1,0))</f>
        <v>0</v>
      </c>
      <c r="BP101" s="364" t="n">
        <f aca="false">IF(64&lt;5,0,IF(MAX(BK96:BP96)&gt;BP97+2+$B$18,1,0))</f>
        <v>0</v>
      </c>
      <c r="BQ101" s="364" t="n">
        <f aca="false">IF(65&lt;5,0,IF(MAX(BL96:BQ96)&gt;BQ97+2+$B$18,1,0))</f>
        <v>0</v>
      </c>
      <c r="BR101" s="364" t="n">
        <f aca="false">IF(66&lt;5,0,IF(MAX(BM96:BR96)&gt;BR97+2+$B$18,1,0))</f>
        <v>0</v>
      </c>
      <c r="BS101" s="364" t="n">
        <f aca="false">IF(67&lt;5,0,IF(MAX(BN96:BS96)&gt;BS97+2+$B$18,1,0))</f>
        <v>0</v>
      </c>
      <c r="BT101" s="364" t="n">
        <f aca="false">IF(68&lt;5,0,IF(MAX(BO96:BT96)&gt;BT97+2+$B$18,1,0))</f>
        <v>0</v>
      </c>
      <c r="BU101" s="364" t="n">
        <f aca="false">IF(69&lt;5,0,IF(MAX(BP96:BU96)&gt;BU97+2+$B$18,1,0))</f>
        <v>0</v>
      </c>
      <c r="BV101" s="364" t="n">
        <f aca="false">IF(70&lt;5,0,IF(MAX(BQ96:BV96)&gt;BV97+2+$B$18,1,0))</f>
        <v>0</v>
      </c>
      <c r="BW101" s="364" t="n">
        <f aca="false">IF(71&lt;5,0,IF(MAX(BR96:BW96)&gt;BW97+2+$B$18,1,0))</f>
        <v>0</v>
      </c>
      <c r="BX101" s="364" t="n">
        <f aca="false">IF(72&lt;5,0,IF(MAX(BS96:BX96)&gt;BX97+2+$B$18,1,0))</f>
        <v>0</v>
      </c>
      <c r="BY101" s="364" t="n">
        <f aca="false">IF(73&lt;5,0,IF(MAX(BT96:BY96)&gt;BY97+2+$B$18,1,0))</f>
        <v>0</v>
      </c>
      <c r="BZ101" s="364" t="n">
        <f aca="false">IF(74&lt;5,0,IF(MAX(BU96:BZ96)&gt;BZ97+2+$B$18,1,0))</f>
        <v>0</v>
      </c>
      <c r="CA101" s="364" t="n">
        <f aca="false">IF(75&lt;5,0,IF(MAX(BV96:CA96)&gt;CA97+2+$B$18,1,0))</f>
        <v>0</v>
      </c>
      <c r="CB101" s="364" t="n">
        <f aca="false">IF(76&lt;5,0,IF(MAX(BW96:CB96)&gt;CB97+2+$B$18,1,0))</f>
        <v>0</v>
      </c>
      <c r="CC101" s="364" t="n">
        <f aca="false">IF(77&lt;5,0,IF(MAX(BX96:CC96)&gt;CC97+2+$B$18,1,0))</f>
        <v>0</v>
      </c>
      <c r="CD101" s="364" t="n">
        <f aca="false">IF(78&lt;5,0,IF(MAX(BY96:CD96)&gt;CD97+2+$B$18,1,0))</f>
        <v>0</v>
      </c>
      <c r="CE101" s="364" t="n">
        <f aca="false">IF(79&lt;5,0,IF(MAX(BZ96:CE96)&gt;CE97+2+$B$18,1,0))</f>
        <v>0</v>
      </c>
      <c r="CF101" s="364" t="n">
        <f aca="false">IF(80&lt;5,0,IF(MAX(CA96:CF96)&gt;CF97+2+$B$18,1,0))</f>
        <v>0</v>
      </c>
      <c r="CG101" s="364" t="n">
        <f aca="false">IF(81&lt;5,0,IF(MAX(CB96:CG96)&gt;CG97+2+$B$18,1,0))</f>
        <v>0</v>
      </c>
      <c r="CH101" s="364" t="n">
        <f aca="false">IF(82&lt;5,0,IF(MAX(CC96:CH96)&gt;CH97+2+$B$18,1,0))</f>
        <v>0</v>
      </c>
      <c r="CI101" s="364" t="n">
        <f aca="false">IF(83&lt;5,0,IF(MAX(CD96:CI96)&gt;CI97+2+$B$18,1,0))</f>
        <v>0</v>
      </c>
      <c r="CJ101" s="364" t="n">
        <f aca="false">IF(84&lt;5,0,IF(MAX(CE96:CJ96)&gt;CJ97+2+$B$18,1,0))</f>
        <v>0</v>
      </c>
      <c r="CK101" s="364" t="n">
        <f aca="false">IF(85&lt;5,0,IF(MAX(CF96:CK96)&gt;CK97+2+$B$18,1,0))</f>
        <v>0</v>
      </c>
      <c r="CL101" s="364" t="n">
        <f aca="false">IF(86&lt;5,0,IF(MAX(CG96:CL96)&gt;CL97+2+$B$18,1,0))</f>
        <v>0</v>
      </c>
      <c r="CM101" s="364" t="n">
        <f aca="false">IF(87&lt;5,0,IF(MAX(CH96:CM96)&gt;CM97+2+$B$18,1,0))</f>
        <v>0</v>
      </c>
      <c r="CN101" s="364" t="n">
        <f aca="false">IF(88&lt;5,0,IF(MAX(CI96:CN96)&gt;CN97+2+$B$18,1,0))</f>
        <v>0</v>
      </c>
      <c r="CO101" s="364" t="n">
        <f aca="false">IF(89&lt;5,0,IF(MAX(CJ96:CO96)&gt;CO97+2+$B$18,1,0))</f>
        <v>0</v>
      </c>
      <c r="CP101" s="364" t="n">
        <f aca="false">IF(90&lt;5,0,IF(MAX(CK96:CP96)&gt;CP97+2+$B$18,1,0))</f>
        <v>0</v>
      </c>
      <c r="CQ101" s="364" t="n">
        <f aca="false">IF(91&lt;5,0,IF(MAX(CL96:CQ96)&gt;CQ97+2+$B$18,1,0))</f>
        <v>0</v>
      </c>
      <c r="CR101" s="364" t="n">
        <f aca="false">IF(92&lt;5,0,IF(MAX(CM96:CR96)&gt;CR97+2+$B$18,1,0))</f>
        <v>0</v>
      </c>
      <c r="CS101" s="364" t="n">
        <f aca="false">IF(93&lt;5,0,IF(MAX(CN96:CS96)&gt;CS97+2+$B$18,1,0))</f>
        <v>0</v>
      </c>
      <c r="CT101" s="364" t="n">
        <f aca="false">IF(94&lt;5,0,IF(MAX(CO96:CT96)&gt;CT97+2+$B$18,1,0))</f>
        <v>0</v>
      </c>
      <c r="CU101" s="364" t="n">
        <f aca="false">IF(95&lt;5,0,IF(MAX(CP96:CU96)&gt;CU97+2+$B$18,1,0))</f>
        <v>0</v>
      </c>
      <c r="CV101" s="364" t="n">
        <f aca="false">IF(96&lt;5,0,IF(MAX(CQ96:CV96)&gt;CV97+2+$B$18,1,0))</f>
        <v>0</v>
      </c>
      <c r="CW101" s="364" t="n">
        <f aca="false">IF(97&lt;5,0,IF(MAX(CR96:CW96)&gt;CW97+2+$B$18,1,0))</f>
        <v>0</v>
      </c>
      <c r="CX101" s="364" t="n">
        <f aca="false">IF(98&lt;5,0,IF(MAX(CS96:CX96)&gt;CX97+2+$B$18,1,0))</f>
        <v>0</v>
      </c>
      <c r="CY101" s="364" t="n">
        <f aca="false">IF(99&lt;5,0,IF(MAX(CT96:CY96)&gt;CY97+2+$B$18,1,0))</f>
        <v>0</v>
      </c>
      <c r="CZ101" s="364" t="n">
        <f aca="false">IF(100&lt;5,0,IF(MAX(CU96:CZ96)&gt;CZ97+2+$B$18,1,0))</f>
        <v>0</v>
      </c>
      <c r="DA101" s="364" t="n">
        <f aca="false">IF(101&lt;5,0,IF(MAX(CV96:DA96)&gt;DA97+2+$B$18,1,0))</f>
        <v>0</v>
      </c>
      <c r="DB101" s="364" t="n">
        <f aca="false">IF(102&lt;5,0,IF(MAX(CW96:DB96)&gt;DB97+2+$B$18,1,0))</f>
        <v>0</v>
      </c>
      <c r="DC101" s="364" t="n">
        <f aca="false">IF(103&lt;5,0,IF(MAX(CX96:DC96)&gt;DC97+2+$B$18,1,0))</f>
        <v>0</v>
      </c>
      <c r="DD101" s="364" t="n">
        <f aca="false">IF(104&lt;5,0,IF(MAX(CY96:DD96)&gt;DD97+2+$B$18,1,0))</f>
        <v>0</v>
      </c>
      <c r="DE101" s="364" t="n">
        <f aca="false">IF(105&lt;5,0,IF(MAX(CZ96:DE96)&gt;DE97+2+$B$18,1,0))</f>
        <v>0</v>
      </c>
    </row>
    <row r="102" customFormat="false" ht="13.5" hidden="false" customHeight="true" outlineLevel="0" collapsed="false">
      <c r="A102" s="109" t="s">
        <v>1259</v>
      </c>
      <c r="B102" s="223" t="n">
        <f aca="false">$B$27</f>
        <v>125000</v>
      </c>
      <c r="E102" s="364" t="n">
        <f aca="false">IF(1&lt;5,0,IF(MAX(E96)&gt;E97+3+$B$18,1,0))</f>
        <v>0</v>
      </c>
      <c r="F102" s="364" t="n">
        <f aca="false">IF(2&lt;5,0,IF(MAX(E96:F96)&gt;F97+3+$B$18,1,0))</f>
        <v>0</v>
      </c>
      <c r="G102" s="364" t="n">
        <f aca="false">IF(3&lt;5,0,IF(MAX(E96:G96)&gt;G97+3+$B$18,1,0))</f>
        <v>0</v>
      </c>
      <c r="H102" s="364" t="n">
        <f aca="false">IF(4&lt;5,0,IF(MAX(E96:H96)&gt;H97+3+$B$18,1,0))</f>
        <v>0</v>
      </c>
      <c r="I102" s="364" t="n">
        <f aca="false">IF(5&lt;5,0,IF(MAX(E96:I96)&gt;I97+3+$B$18,1,0))</f>
        <v>0</v>
      </c>
      <c r="J102" s="364" t="n">
        <f aca="false">IF(6&lt;5,0,IF(MAX(E96:J96)&gt;J97+3+$B$18,1,0))</f>
        <v>0</v>
      </c>
      <c r="K102" s="364" t="n">
        <f aca="false">IF(7&lt;5,0,IF(MAX(F96:K96)&gt;K97+3+$B$18,1,0))</f>
        <v>0</v>
      </c>
      <c r="L102" s="364" t="n">
        <f aca="false">IF(8&lt;5,0,IF(MAX(G96:L96)&gt;L97+3+$B$18,1,0))</f>
        <v>0</v>
      </c>
      <c r="M102" s="364" t="n">
        <f aca="false">IF(9&lt;5,0,IF(MAX(H96:M96)&gt;M97+3+$B$18,1,0))</f>
        <v>0</v>
      </c>
      <c r="N102" s="364" t="n">
        <f aca="false">IF(10&lt;5,0,IF(MAX(I96:N96)&gt;N97+3+$B$18,1,0))</f>
        <v>0</v>
      </c>
      <c r="O102" s="364" t="n">
        <f aca="false">IF(11&lt;5,0,IF(MAX(J96:O96)&gt;O97+3+$B$18,1,0))</f>
        <v>0</v>
      </c>
      <c r="P102" s="364" t="n">
        <f aca="false">IF(12&lt;5,0,IF(MAX(K96:P96)&gt;P97+3+$B$18,1,0))</f>
        <v>0</v>
      </c>
      <c r="Q102" s="364" t="n">
        <f aca="false">IF(13&lt;5,0,IF(MAX(L96:Q96)&gt;Q97+3+$B$18,1,0))</f>
        <v>0</v>
      </c>
      <c r="R102" s="364" t="n">
        <f aca="false">IF(14&lt;5,0,IF(MAX(M96:R96)&gt;R97+3+$B$18,1,0))</f>
        <v>0</v>
      </c>
      <c r="S102" s="364" t="n">
        <f aca="false">IF(15&lt;5,0,IF(MAX(N96:S96)&gt;S97+3+$B$18,1,0))</f>
        <v>0</v>
      </c>
      <c r="T102" s="364" t="n">
        <f aca="false">IF(16&lt;5,0,IF(MAX(O96:T96)&gt;T97+3+$B$18,1,0))</f>
        <v>0</v>
      </c>
      <c r="U102" s="364" t="n">
        <f aca="false">IF(17&lt;5,0,IF(MAX(P96:U96)&gt;U97+3+$B$18,1,0))</f>
        <v>0</v>
      </c>
      <c r="V102" s="364" t="n">
        <f aca="false">IF(18&lt;5,0,IF(MAX(Q96:V96)&gt;V97+3+$B$18,1,0))</f>
        <v>0</v>
      </c>
      <c r="W102" s="364" t="n">
        <f aca="false">IF(19&lt;5,0,IF(MAX(R96:W96)&gt;W97+3+$B$18,1,0))</f>
        <v>0</v>
      </c>
      <c r="X102" s="364" t="n">
        <f aca="false">IF(20&lt;5,0,IF(MAX(S96:X96)&gt;X97+3+$B$18,1,0))</f>
        <v>0</v>
      </c>
      <c r="Y102" s="364" t="n">
        <f aca="false">IF(21&lt;5,0,IF(MAX(T96:Y96)&gt;Y97+3+$B$18,1,0))</f>
        <v>0</v>
      </c>
      <c r="Z102" s="364" t="n">
        <f aca="false">IF(22&lt;5,0,IF(MAX(U96:Z96)&gt;Z97+3+$B$18,1,0))</f>
        <v>0</v>
      </c>
      <c r="AA102" s="364" t="n">
        <f aca="false">IF(23&lt;5,0,IF(MAX(V96:AA96)&gt;AA97+3+$B$18,1,0))</f>
        <v>0</v>
      </c>
      <c r="AB102" s="364" t="n">
        <f aca="false">IF(24&lt;5,0,IF(MAX(W96:AB96)&gt;AB97+3+$B$18,1,0))</f>
        <v>0</v>
      </c>
      <c r="AC102" s="364" t="n">
        <f aca="false">IF(25&lt;5,0,IF(MAX(X96:AC96)&gt;AC97+3+$B$18,1,0))</f>
        <v>0</v>
      </c>
      <c r="AD102" s="364" t="n">
        <f aca="false">IF(26&lt;5,0,IF(MAX(Y96:AD96)&gt;AD97+3+$B$18,1,0))</f>
        <v>0</v>
      </c>
      <c r="AE102" s="364" t="n">
        <f aca="false">IF(27&lt;5,0,IF(MAX(Z96:AE96)&gt;AE97+3+$B$18,1,0))</f>
        <v>0</v>
      </c>
      <c r="AF102" s="364" t="n">
        <f aca="false">IF(28&lt;5,0,IF(MAX(AA96:AF96)&gt;AF97+3+$B$18,1,0))</f>
        <v>0</v>
      </c>
      <c r="AG102" s="364" t="n">
        <f aca="false">IF(29&lt;5,0,IF(MAX(AB96:AG96)&gt;AG97+3+$B$18,1,0))</f>
        <v>0</v>
      </c>
      <c r="AH102" s="364" t="n">
        <f aca="false">IF(30&lt;5,0,IF(MAX(AC96:AH96)&gt;AH97+3+$B$18,1,0))</f>
        <v>0</v>
      </c>
      <c r="AI102" s="364" t="n">
        <f aca="false">IF(31&lt;5,0,IF(MAX(AD96:AI96)&gt;AI97+3+$B$18,1,0))</f>
        <v>0</v>
      </c>
      <c r="AJ102" s="364" t="n">
        <f aca="false">IF(32&lt;5,0,IF(MAX(AE96:AJ96)&gt;AJ97+3+$B$18,1,0))</f>
        <v>0</v>
      </c>
      <c r="AK102" s="364" t="n">
        <f aca="false">IF(33&lt;5,0,IF(MAX(AF96:AK96)&gt;AK97+3+$B$18,1,0))</f>
        <v>0</v>
      </c>
      <c r="AL102" s="364" t="n">
        <f aca="false">IF(34&lt;5,0,IF(MAX(AG96:AL96)&gt;AL97+3+$B$18,1,0))</f>
        <v>0</v>
      </c>
      <c r="AM102" s="364" t="n">
        <f aca="false">IF(35&lt;5,0,IF(MAX(AH96:AM96)&gt;AM97+3+$B$18,1,0))</f>
        <v>0</v>
      </c>
      <c r="AN102" s="364" t="n">
        <f aca="false">IF(36&lt;5,0,IF(MAX(AI96:AN96)&gt;AN97+3+$B$18,1,0))</f>
        <v>0</v>
      </c>
      <c r="AO102" s="364" t="n">
        <f aca="false">IF(37&lt;5,0,IF(MAX(AJ96:AO96)&gt;AO97+3+$B$18,1,0))</f>
        <v>0</v>
      </c>
      <c r="AP102" s="364" t="n">
        <f aca="false">IF(38&lt;5,0,IF(MAX(AK96:AP96)&gt;AP97+3+$B$18,1,0))</f>
        <v>0</v>
      </c>
      <c r="AQ102" s="364" t="n">
        <f aca="false">IF(39&lt;5,0,IF(MAX(AL96:AQ96)&gt;AQ97+3+$B$18,1,0))</f>
        <v>0</v>
      </c>
      <c r="AR102" s="364" t="n">
        <f aca="false">IF(40&lt;5,0,IF(MAX(AM96:AR96)&gt;AR97+3+$B$18,1,0))</f>
        <v>0</v>
      </c>
      <c r="AS102" s="364" t="n">
        <f aca="false">IF(41&lt;5,0,IF(MAX(AN96:AS96)&gt;AS97+3+$B$18,1,0))</f>
        <v>0</v>
      </c>
      <c r="AT102" s="364" t="n">
        <f aca="false">IF(42&lt;5,0,IF(MAX(AO96:AT96)&gt;AT97+3+$B$18,1,0))</f>
        <v>0</v>
      </c>
      <c r="AU102" s="364" t="n">
        <f aca="false">IF(43&lt;5,0,IF(MAX(AP96:AU96)&gt;AU97+3+$B$18,1,0))</f>
        <v>0</v>
      </c>
      <c r="AV102" s="364" t="n">
        <f aca="false">IF(44&lt;5,0,IF(MAX(AQ96:AV96)&gt;AV97+3+$B$18,1,0))</f>
        <v>0</v>
      </c>
      <c r="AW102" s="364" t="n">
        <f aca="false">IF(45&lt;5,0,IF(MAX(AR96:AW96)&gt;AW97+3+$B$18,1,0))</f>
        <v>0</v>
      </c>
      <c r="AX102" s="364" t="n">
        <f aca="false">IF(46&lt;5,0,IF(MAX(AS96:AX96)&gt;AX97+3+$B$18,1,0))</f>
        <v>0</v>
      </c>
      <c r="AY102" s="364" t="n">
        <f aca="false">IF(47&lt;5,0,IF(MAX(AT96:AY96)&gt;AY97+3+$B$18,1,0))</f>
        <v>0</v>
      </c>
      <c r="AZ102" s="364" t="n">
        <f aca="false">IF(48&lt;5,0,IF(MAX(AU96:AZ96)&gt;AZ97+3+$B$18,1,0))</f>
        <v>0</v>
      </c>
      <c r="BA102" s="364" t="n">
        <f aca="false">IF(49&lt;5,0,IF(MAX(AV96:BA96)&gt;BA97+3+$B$18,1,0))</f>
        <v>0</v>
      </c>
      <c r="BB102" s="364" t="n">
        <f aca="false">IF(50&lt;5,0,IF(MAX(AW96:BB96)&gt;BB97+3+$B$18,1,0))</f>
        <v>0</v>
      </c>
      <c r="BC102" s="364" t="n">
        <f aca="false">IF(51&lt;5,0,IF(MAX(AX96:BC96)&gt;BC97+3+$B$18,1,0))</f>
        <v>0</v>
      </c>
      <c r="BD102" s="364" t="n">
        <f aca="false">IF(52&lt;5,0,IF(MAX(AY96:BD96)&gt;BD97+3+$B$18,1,0))</f>
        <v>0</v>
      </c>
      <c r="BE102" s="364" t="n">
        <f aca="false">IF(53&lt;5,0,IF(MAX(AZ96:BE96)&gt;BE97+3+$B$18,1,0))</f>
        <v>0</v>
      </c>
      <c r="BF102" s="364" t="n">
        <f aca="false">IF(54&lt;5,0,IF(MAX(BA96:BF96)&gt;BF97+3+$B$18,1,0))</f>
        <v>0</v>
      </c>
      <c r="BG102" s="364" t="n">
        <f aca="false">IF(55&lt;5,0,IF(MAX(BB96:BG96)&gt;BG97+3+$B$18,1,0))</f>
        <v>0</v>
      </c>
      <c r="BH102" s="364" t="n">
        <f aca="false">IF(56&lt;5,0,IF(MAX(BC96:BH96)&gt;BH97+3+$B$18,1,0))</f>
        <v>0</v>
      </c>
      <c r="BI102" s="364" t="n">
        <f aca="false">IF(57&lt;5,0,IF(MAX(BD96:BI96)&gt;BI97+3+$B$18,1,0))</f>
        <v>0</v>
      </c>
      <c r="BJ102" s="364" t="n">
        <f aca="false">IF(58&lt;5,0,IF(MAX(BE96:BJ96)&gt;BJ97+3+$B$18,1,0))</f>
        <v>0</v>
      </c>
      <c r="BK102" s="364" t="n">
        <f aca="false">IF(59&lt;5,0,IF(MAX(BF96:BK96)&gt;BK97+3+$B$18,1,0))</f>
        <v>0</v>
      </c>
      <c r="BL102" s="364" t="n">
        <f aca="false">IF(60&lt;5,0,IF(MAX(BG96:BL96)&gt;BL97+3+$B$18,1,0))</f>
        <v>0</v>
      </c>
      <c r="BM102" s="364" t="n">
        <f aca="false">IF(61&lt;5,0,IF(MAX(BH96:BM96)&gt;BM97+3+$B$18,1,0))</f>
        <v>0</v>
      </c>
      <c r="BN102" s="364" t="n">
        <f aca="false">IF(62&lt;5,0,IF(MAX(BI96:BN96)&gt;BN97+3+$B$18,1,0))</f>
        <v>0</v>
      </c>
      <c r="BO102" s="364" t="n">
        <f aca="false">IF(63&lt;5,0,IF(MAX(BJ96:BO96)&gt;BO97+3+$B$18,1,0))</f>
        <v>0</v>
      </c>
      <c r="BP102" s="364" t="n">
        <f aca="false">IF(64&lt;5,0,IF(MAX(BK96:BP96)&gt;BP97+3+$B$18,1,0))</f>
        <v>0</v>
      </c>
      <c r="BQ102" s="364" t="n">
        <f aca="false">IF(65&lt;5,0,IF(MAX(BL96:BQ96)&gt;BQ97+3+$B$18,1,0))</f>
        <v>0</v>
      </c>
      <c r="BR102" s="364" t="n">
        <f aca="false">IF(66&lt;5,0,IF(MAX(BM96:BR96)&gt;BR97+3+$B$18,1,0))</f>
        <v>0</v>
      </c>
      <c r="BS102" s="364" t="n">
        <f aca="false">IF(67&lt;5,0,IF(MAX(BN96:BS96)&gt;BS97+3+$B$18,1,0))</f>
        <v>0</v>
      </c>
      <c r="BT102" s="364" t="n">
        <f aca="false">IF(68&lt;5,0,IF(MAX(BO96:BT96)&gt;BT97+3+$B$18,1,0))</f>
        <v>0</v>
      </c>
      <c r="BU102" s="364" t="n">
        <f aca="false">IF(69&lt;5,0,IF(MAX(BP96:BU96)&gt;BU97+3+$B$18,1,0))</f>
        <v>0</v>
      </c>
      <c r="BV102" s="364" t="n">
        <f aca="false">IF(70&lt;5,0,IF(MAX(BQ96:BV96)&gt;BV97+3+$B$18,1,0))</f>
        <v>0</v>
      </c>
      <c r="BW102" s="364" t="n">
        <f aca="false">IF(71&lt;5,0,IF(MAX(BR96:BW96)&gt;BW97+3+$B$18,1,0))</f>
        <v>0</v>
      </c>
      <c r="BX102" s="364" t="n">
        <f aca="false">IF(72&lt;5,0,IF(MAX(BS96:BX96)&gt;BX97+3+$B$18,1,0))</f>
        <v>0</v>
      </c>
      <c r="BY102" s="364" t="n">
        <f aca="false">IF(73&lt;5,0,IF(MAX(BT96:BY96)&gt;BY97+3+$B$18,1,0))</f>
        <v>0</v>
      </c>
      <c r="BZ102" s="364" t="n">
        <f aca="false">IF(74&lt;5,0,IF(MAX(BU96:BZ96)&gt;BZ97+3+$B$18,1,0))</f>
        <v>0</v>
      </c>
      <c r="CA102" s="364" t="n">
        <f aca="false">IF(75&lt;5,0,IF(MAX(BV96:CA96)&gt;CA97+3+$B$18,1,0))</f>
        <v>0</v>
      </c>
      <c r="CB102" s="364" t="n">
        <f aca="false">IF(76&lt;5,0,IF(MAX(BW96:CB96)&gt;CB97+3+$B$18,1,0))</f>
        <v>0</v>
      </c>
      <c r="CC102" s="364" t="n">
        <f aca="false">IF(77&lt;5,0,IF(MAX(BX96:CC96)&gt;CC97+3+$B$18,1,0))</f>
        <v>0</v>
      </c>
      <c r="CD102" s="364" t="n">
        <f aca="false">IF(78&lt;5,0,IF(MAX(BY96:CD96)&gt;CD97+3+$B$18,1,0))</f>
        <v>0</v>
      </c>
      <c r="CE102" s="364" t="n">
        <f aca="false">IF(79&lt;5,0,IF(MAX(BZ96:CE96)&gt;CE97+3+$B$18,1,0))</f>
        <v>0</v>
      </c>
      <c r="CF102" s="364" t="n">
        <f aca="false">IF(80&lt;5,0,IF(MAX(CA96:CF96)&gt;CF97+3+$B$18,1,0))</f>
        <v>0</v>
      </c>
      <c r="CG102" s="364" t="n">
        <f aca="false">IF(81&lt;5,0,IF(MAX(CB96:CG96)&gt;CG97+3+$B$18,1,0))</f>
        <v>0</v>
      </c>
      <c r="CH102" s="364" t="n">
        <f aca="false">IF(82&lt;5,0,IF(MAX(CC96:CH96)&gt;CH97+3+$B$18,1,0))</f>
        <v>0</v>
      </c>
      <c r="CI102" s="364" t="n">
        <f aca="false">IF(83&lt;5,0,IF(MAX(CD96:CI96)&gt;CI97+3+$B$18,1,0))</f>
        <v>0</v>
      </c>
      <c r="CJ102" s="364" t="n">
        <f aca="false">IF(84&lt;5,0,IF(MAX(CE96:CJ96)&gt;CJ97+3+$B$18,1,0))</f>
        <v>0</v>
      </c>
      <c r="CK102" s="364" t="n">
        <f aca="false">IF(85&lt;5,0,IF(MAX(CF96:CK96)&gt;CK97+3+$B$18,1,0))</f>
        <v>0</v>
      </c>
      <c r="CL102" s="364" t="n">
        <f aca="false">IF(86&lt;5,0,IF(MAX(CG96:CL96)&gt;CL97+3+$B$18,1,0))</f>
        <v>0</v>
      </c>
      <c r="CM102" s="364" t="n">
        <f aca="false">IF(87&lt;5,0,IF(MAX(CH96:CM96)&gt;CM97+3+$B$18,1,0))</f>
        <v>0</v>
      </c>
      <c r="CN102" s="364" t="n">
        <f aca="false">IF(88&lt;5,0,IF(MAX(CI96:CN96)&gt;CN97+3+$B$18,1,0))</f>
        <v>0</v>
      </c>
      <c r="CO102" s="364" t="n">
        <f aca="false">IF(89&lt;5,0,IF(MAX(CJ96:CO96)&gt;CO97+3+$B$18,1,0))</f>
        <v>0</v>
      </c>
      <c r="CP102" s="364" t="n">
        <f aca="false">IF(90&lt;5,0,IF(MAX(CK96:CP96)&gt;CP97+3+$B$18,1,0))</f>
        <v>0</v>
      </c>
      <c r="CQ102" s="364" t="n">
        <f aca="false">IF(91&lt;5,0,IF(MAX(CL96:CQ96)&gt;CQ97+3+$B$18,1,0))</f>
        <v>0</v>
      </c>
      <c r="CR102" s="364" t="n">
        <f aca="false">IF(92&lt;5,0,IF(MAX(CM96:CR96)&gt;CR97+3+$B$18,1,0))</f>
        <v>0</v>
      </c>
      <c r="CS102" s="364" t="n">
        <f aca="false">IF(93&lt;5,0,IF(MAX(CN96:CS96)&gt;CS97+3+$B$18,1,0))</f>
        <v>0</v>
      </c>
      <c r="CT102" s="364" t="n">
        <f aca="false">IF(94&lt;5,0,IF(MAX(CO96:CT96)&gt;CT97+3+$B$18,1,0))</f>
        <v>0</v>
      </c>
      <c r="CU102" s="364" t="n">
        <f aca="false">IF(95&lt;5,0,IF(MAX(CP96:CU96)&gt;CU97+3+$B$18,1,0))</f>
        <v>0</v>
      </c>
      <c r="CV102" s="364" t="n">
        <f aca="false">IF(96&lt;5,0,IF(MAX(CQ96:CV96)&gt;CV97+3+$B$18,1,0))</f>
        <v>0</v>
      </c>
      <c r="CW102" s="364" t="n">
        <f aca="false">IF(97&lt;5,0,IF(MAX(CR96:CW96)&gt;CW97+3+$B$18,1,0))</f>
        <v>0</v>
      </c>
      <c r="CX102" s="364" t="n">
        <f aca="false">IF(98&lt;5,0,IF(MAX(CS96:CX96)&gt;CX97+3+$B$18,1,0))</f>
        <v>0</v>
      </c>
      <c r="CY102" s="364" t="n">
        <f aca="false">IF(99&lt;5,0,IF(MAX(CT96:CY96)&gt;CY97+3+$B$18,1,0))</f>
        <v>0</v>
      </c>
      <c r="CZ102" s="364" t="n">
        <f aca="false">IF(100&lt;5,0,IF(MAX(CU96:CZ96)&gt;CZ97+3+$B$18,1,0))</f>
        <v>0</v>
      </c>
      <c r="DA102" s="364" t="n">
        <f aca="false">IF(101&lt;5,0,IF(MAX(CV96:DA96)&gt;DA97+3+$B$18,1,0))</f>
        <v>0</v>
      </c>
      <c r="DB102" s="364" t="n">
        <f aca="false">IF(102&lt;5,0,IF(MAX(CW96:DB96)&gt;DB97+3+$B$18,1,0))</f>
        <v>0</v>
      </c>
      <c r="DC102" s="364" t="n">
        <f aca="false">IF(103&lt;5,0,IF(MAX(CX96:DC96)&gt;DC97+3+$B$18,1,0))</f>
        <v>0</v>
      </c>
      <c r="DD102" s="364" t="n">
        <f aca="false">IF(104&lt;5,0,IF(MAX(CY96:DD96)&gt;DD97+3+$B$18,1,0))</f>
        <v>0</v>
      </c>
      <c r="DE102" s="364" t="n">
        <f aca="false">IF(105&lt;5,0,IF(MAX(CZ96:DE96)&gt;DE97+3+$B$18,1,0))</f>
        <v>0</v>
      </c>
    </row>
    <row r="103" customFormat="false" ht="13.5" hidden="false" customHeight="true" outlineLevel="0" collapsed="false">
      <c r="A103" s="109" t="s">
        <v>1260</v>
      </c>
      <c r="B103" s="223" t="n">
        <f aca="false">$B$27</f>
        <v>125000</v>
      </c>
      <c r="E103" s="364" t="n">
        <f aca="false">IF(1&lt;5,0,IF(MAX(E96)&gt;E97+4+$B$18,1,0))</f>
        <v>0</v>
      </c>
      <c r="F103" s="364" t="n">
        <f aca="false">IF(2&lt;5,0,IF(MAX(E96:F96)&gt;F97+4+$B$18,1,0))</f>
        <v>0</v>
      </c>
      <c r="G103" s="364" t="n">
        <f aca="false">IF(3&lt;5,0,IF(MAX(E96:G96)&gt;G97+4+$B$18,1,0))</f>
        <v>0</v>
      </c>
      <c r="H103" s="364" t="n">
        <f aca="false">IF(4&lt;5,0,IF(MAX(E96:H96)&gt;H97+4+$B$18,1,0))</f>
        <v>0</v>
      </c>
      <c r="I103" s="364" t="n">
        <f aca="false">IF(5&lt;5,0,IF(MAX(E96:I96)&gt;I97+4+$B$18,1,0))</f>
        <v>0</v>
      </c>
      <c r="J103" s="364" t="n">
        <f aca="false">IF(6&lt;5,0,IF(MAX(E96:J96)&gt;J97+4+$B$18,1,0))</f>
        <v>0</v>
      </c>
      <c r="K103" s="364" t="n">
        <f aca="false">IF(7&lt;5,0,IF(MAX(F96:K96)&gt;K97+4+$B$18,1,0))</f>
        <v>0</v>
      </c>
      <c r="L103" s="364" t="n">
        <f aca="false">IF(8&lt;5,0,IF(MAX(G96:L96)&gt;L97+4+$B$18,1,0))</f>
        <v>0</v>
      </c>
      <c r="M103" s="364" t="n">
        <f aca="false">IF(9&lt;5,0,IF(MAX(H96:M96)&gt;M97+4+$B$18,1,0))</f>
        <v>0</v>
      </c>
      <c r="N103" s="364" t="n">
        <f aca="false">IF(10&lt;5,0,IF(MAX(I96:N96)&gt;N97+4+$B$18,1,0))</f>
        <v>0</v>
      </c>
      <c r="O103" s="364" t="n">
        <f aca="false">IF(11&lt;5,0,IF(MAX(J96:O96)&gt;O97+4+$B$18,1,0))</f>
        <v>0</v>
      </c>
      <c r="P103" s="364" t="n">
        <f aca="false">IF(12&lt;5,0,IF(MAX(K96:P96)&gt;P97+4+$B$18,1,0))</f>
        <v>0</v>
      </c>
      <c r="Q103" s="364" t="n">
        <f aca="false">IF(13&lt;5,0,IF(MAX(L96:Q96)&gt;Q97+4+$B$18,1,0))</f>
        <v>0</v>
      </c>
      <c r="R103" s="364" t="n">
        <f aca="false">IF(14&lt;5,0,IF(MAX(M96:R96)&gt;R97+4+$B$18,1,0))</f>
        <v>0</v>
      </c>
      <c r="S103" s="364" t="n">
        <f aca="false">IF(15&lt;5,0,IF(MAX(N96:S96)&gt;S97+4+$B$18,1,0))</f>
        <v>0</v>
      </c>
      <c r="T103" s="364" t="n">
        <f aca="false">IF(16&lt;5,0,IF(MAX(O96:T96)&gt;T97+4+$B$18,1,0))</f>
        <v>0</v>
      </c>
      <c r="U103" s="364" t="n">
        <f aca="false">IF(17&lt;5,0,IF(MAX(P96:U96)&gt;U97+4+$B$18,1,0))</f>
        <v>0</v>
      </c>
      <c r="V103" s="364" t="n">
        <f aca="false">IF(18&lt;5,0,IF(MAX(Q96:V96)&gt;V97+4+$B$18,1,0))</f>
        <v>0</v>
      </c>
      <c r="W103" s="364" t="n">
        <f aca="false">IF(19&lt;5,0,IF(MAX(R96:W96)&gt;W97+4+$B$18,1,0))</f>
        <v>0</v>
      </c>
      <c r="X103" s="364" t="n">
        <f aca="false">IF(20&lt;5,0,IF(MAX(S96:X96)&gt;X97+4+$B$18,1,0))</f>
        <v>0</v>
      </c>
      <c r="Y103" s="364" t="n">
        <f aca="false">IF(21&lt;5,0,IF(MAX(T96:Y96)&gt;Y97+4+$B$18,1,0))</f>
        <v>0</v>
      </c>
      <c r="Z103" s="364" t="n">
        <f aca="false">IF(22&lt;5,0,IF(MAX(U96:Z96)&gt;Z97+4+$B$18,1,0))</f>
        <v>0</v>
      </c>
      <c r="AA103" s="364" t="n">
        <f aca="false">IF(23&lt;5,0,IF(MAX(V96:AA96)&gt;AA97+4+$B$18,1,0))</f>
        <v>0</v>
      </c>
      <c r="AB103" s="364" t="n">
        <f aca="false">IF(24&lt;5,0,IF(MAX(W96:AB96)&gt;AB97+4+$B$18,1,0))</f>
        <v>0</v>
      </c>
      <c r="AC103" s="364" t="n">
        <f aca="false">IF(25&lt;5,0,IF(MAX(X96:AC96)&gt;AC97+4+$B$18,1,0))</f>
        <v>0</v>
      </c>
      <c r="AD103" s="364" t="n">
        <f aca="false">IF(26&lt;5,0,IF(MAX(Y96:AD96)&gt;AD97+4+$B$18,1,0))</f>
        <v>0</v>
      </c>
      <c r="AE103" s="364" t="n">
        <f aca="false">IF(27&lt;5,0,IF(MAX(Z96:AE96)&gt;AE97+4+$B$18,1,0))</f>
        <v>0</v>
      </c>
      <c r="AF103" s="364" t="n">
        <f aca="false">IF(28&lt;5,0,IF(MAX(AA96:AF96)&gt;AF97+4+$B$18,1,0))</f>
        <v>0</v>
      </c>
      <c r="AG103" s="364" t="n">
        <f aca="false">IF(29&lt;5,0,IF(MAX(AB96:AG96)&gt;AG97+4+$B$18,1,0))</f>
        <v>0</v>
      </c>
      <c r="AH103" s="364" t="n">
        <f aca="false">IF(30&lt;5,0,IF(MAX(AC96:AH96)&gt;AH97+4+$B$18,1,0))</f>
        <v>0</v>
      </c>
      <c r="AI103" s="364" t="n">
        <f aca="false">IF(31&lt;5,0,IF(MAX(AD96:AI96)&gt;AI97+4+$B$18,1,0))</f>
        <v>0</v>
      </c>
      <c r="AJ103" s="364" t="n">
        <f aca="false">IF(32&lt;5,0,IF(MAX(AE96:AJ96)&gt;AJ97+4+$B$18,1,0))</f>
        <v>0</v>
      </c>
      <c r="AK103" s="364" t="n">
        <f aca="false">IF(33&lt;5,0,IF(MAX(AF96:AK96)&gt;AK97+4+$B$18,1,0))</f>
        <v>0</v>
      </c>
      <c r="AL103" s="364" t="n">
        <f aca="false">IF(34&lt;5,0,IF(MAX(AG96:AL96)&gt;AL97+4+$B$18,1,0))</f>
        <v>0</v>
      </c>
      <c r="AM103" s="364" t="n">
        <f aca="false">IF(35&lt;5,0,IF(MAX(AH96:AM96)&gt;AM97+4+$B$18,1,0))</f>
        <v>0</v>
      </c>
      <c r="AN103" s="364" t="n">
        <f aca="false">IF(36&lt;5,0,IF(MAX(AI96:AN96)&gt;AN97+4+$B$18,1,0))</f>
        <v>0</v>
      </c>
      <c r="AO103" s="364" t="n">
        <f aca="false">IF(37&lt;5,0,IF(MAX(AJ96:AO96)&gt;AO97+4+$B$18,1,0))</f>
        <v>0</v>
      </c>
      <c r="AP103" s="364" t="n">
        <f aca="false">IF(38&lt;5,0,IF(MAX(AK96:AP96)&gt;AP97+4+$B$18,1,0))</f>
        <v>0</v>
      </c>
      <c r="AQ103" s="364" t="n">
        <f aca="false">IF(39&lt;5,0,IF(MAX(AL96:AQ96)&gt;AQ97+4+$B$18,1,0))</f>
        <v>0</v>
      </c>
      <c r="AR103" s="364" t="n">
        <f aca="false">IF(40&lt;5,0,IF(MAX(AM96:AR96)&gt;AR97+4+$B$18,1,0))</f>
        <v>0</v>
      </c>
      <c r="AS103" s="364" t="n">
        <f aca="false">IF(41&lt;5,0,IF(MAX(AN96:AS96)&gt;AS97+4+$B$18,1,0))</f>
        <v>0</v>
      </c>
      <c r="AT103" s="364" t="n">
        <f aca="false">IF(42&lt;5,0,IF(MAX(AO96:AT96)&gt;AT97+4+$B$18,1,0))</f>
        <v>0</v>
      </c>
      <c r="AU103" s="364" t="n">
        <f aca="false">IF(43&lt;5,0,IF(MAX(AP96:AU96)&gt;AU97+4+$B$18,1,0))</f>
        <v>0</v>
      </c>
      <c r="AV103" s="364" t="n">
        <f aca="false">IF(44&lt;5,0,IF(MAX(AQ96:AV96)&gt;AV97+4+$B$18,1,0))</f>
        <v>0</v>
      </c>
      <c r="AW103" s="364" t="n">
        <f aca="false">IF(45&lt;5,0,IF(MAX(AR96:AW96)&gt;AW97+4+$B$18,1,0))</f>
        <v>0</v>
      </c>
      <c r="AX103" s="364" t="n">
        <f aca="false">IF(46&lt;5,0,IF(MAX(AS96:AX96)&gt;AX97+4+$B$18,1,0))</f>
        <v>0</v>
      </c>
      <c r="AY103" s="364" t="n">
        <f aca="false">IF(47&lt;5,0,IF(MAX(AT96:AY96)&gt;AY97+4+$B$18,1,0))</f>
        <v>0</v>
      </c>
      <c r="AZ103" s="364" t="n">
        <f aca="false">IF(48&lt;5,0,IF(MAX(AU96:AZ96)&gt;AZ97+4+$B$18,1,0))</f>
        <v>0</v>
      </c>
      <c r="BA103" s="364" t="n">
        <f aca="false">IF(49&lt;5,0,IF(MAX(AV96:BA96)&gt;BA97+4+$B$18,1,0))</f>
        <v>0</v>
      </c>
      <c r="BB103" s="364" t="n">
        <f aca="false">IF(50&lt;5,0,IF(MAX(AW96:BB96)&gt;BB97+4+$B$18,1,0))</f>
        <v>0</v>
      </c>
      <c r="BC103" s="364" t="n">
        <f aca="false">IF(51&lt;5,0,IF(MAX(AX96:BC96)&gt;BC97+4+$B$18,1,0))</f>
        <v>0</v>
      </c>
      <c r="BD103" s="364" t="n">
        <f aca="false">IF(52&lt;5,0,IF(MAX(AY96:BD96)&gt;BD97+4+$B$18,1,0))</f>
        <v>0</v>
      </c>
      <c r="BE103" s="364" t="n">
        <f aca="false">IF(53&lt;5,0,IF(MAX(AZ96:BE96)&gt;BE97+4+$B$18,1,0))</f>
        <v>0</v>
      </c>
      <c r="BF103" s="364" t="n">
        <f aca="false">IF(54&lt;5,0,IF(MAX(BA96:BF96)&gt;BF97+4+$B$18,1,0))</f>
        <v>0</v>
      </c>
      <c r="BG103" s="364" t="n">
        <f aca="false">IF(55&lt;5,0,IF(MAX(BB96:BG96)&gt;BG97+4+$B$18,1,0))</f>
        <v>0</v>
      </c>
      <c r="BH103" s="364" t="n">
        <f aca="false">IF(56&lt;5,0,IF(MAX(BC96:BH96)&gt;BH97+4+$B$18,1,0))</f>
        <v>0</v>
      </c>
      <c r="BI103" s="364" t="n">
        <f aca="false">IF(57&lt;5,0,IF(MAX(BD96:BI96)&gt;BI97+4+$B$18,1,0))</f>
        <v>0</v>
      </c>
      <c r="BJ103" s="364" t="n">
        <f aca="false">IF(58&lt;5,0,IF(MAX(BE96:BJ96)&gt;BJ97+4+$B$18,1,0))</f>
        <v>0</v>
      </c>
      <c r="BK103" s="364" t="n">
        <f aca="false">IF(59&lt;5,0,IF(MAX(BF96:BK96)&gt;BK97+4+$B$18,1,0))</f>
        <v>0</v>
      </c>
      <c r="BL103" s="364" t="n">
        <f aca="false">IF(60&lt;5,0,IF(MAX(BG96:BL96)&gt;BL97+4+$B$18,1,0))</f>
        <v>0</v>
      </c>
      <c r="BM103" s="364" t="n">
        <f aca="false">IF(61&lt;5,0,IF(MAX(BH96:BM96)&gt;BM97+4+$B$18,1,0))</f>
        <v>0</v>
      </c>
      <c r="BN103" s="364" t="n">
        <f aca="false">IF(62&lt;5,0,IF(MAX(BI96:BN96)&gt;BN97+4+$B$18,1,0))</f>
        <v>0</v>
      </c>
      <c r="BO103" s="364" t="n">
        <f aca="false">IF(63&lt;5,0,IF(MAX(BJ96:BO96)&gt;BO97+4+$B$18,1,0))</f>
        <v>0</v>
      </c>
      <c r="BP103" s="364" t="n">
        <f aca="false">IF(64&lt;5,0,IF(MAX(BK96:BP96)&gt;BP97+4+$B$18,1,0))</f>
        <v>0</v>
      </c>
      <c r="BQ103" s="364" t="n">
        <f aca="false">IF(65&lt;5,0,IF(MAX(BL96:BQ96)&gt;BQ97+4+$B$18,1,0))</f>
        <v>0</v>
      </c>
      <c r="BR103" s="364" t="n">
        <f aca="false">IF(66&lt;5,0,IF(MAX(BM96:BR96)&gt;BR97+4+$B$18,1,0))</f>
        <v>0</v>
      </c>
      <c r="BS103" s="364" t="n">
        <f aca="false">IF(67&lt;5,0,IF(MAX(BN96:BS96)&gt;BS97+4+$B$18,1,0))</f>
        <v>0</v>
      </c>
      <c r="BT103" s="364" t="n">
        <f aca="false">IF(68&lt;5,0,IF(MAX(BO96:BT96)&gt;BT97+4+$B$18,1,0))</f>
        <v>0</v>
      </c>
      <c r="BU103" s="364" t="n">
        <f aca="false">IF(69&lt;5,0,IF(MAX(BP96:BU96)&gt;BU97+4+$B$18,1,0))</f>
        <v>0</v>
      </c>
      <c r="BV103" s="364" t="n">
        <f aca="false">IF(70&lt;5,0,IF(MAX(BQ96:BV96)&gt;BV97+4+$B$18,1,0))</f>
        <v>0</v>
      </c>
      <c r="BW103" s="364" t="n">
        <f aca="false">IF(71&lt;5,0,IF(MAX(BR96:BW96)&gt;BW97+4+$B$18,1,0))</f>
        <v>0</v>
      </c>
      <c r="BX103" s="364" t="n">
        <f aca="false">IF(72&lt;5,0,IF(MAX(BS96:BX96)&gt;BX97+4+$B$18,1,0))</f>
        <v>0</v>
      </c>
      <c r="BY103" s="364" t="n">
        <f aca="false">IF(73&lt;5,0,IF(MAX(BT96:BY96)&gt;BY97+4+$B$18,1,0))</f>
        <v>0</v>
      </c>
      <c r="BZ103" s="364" t="n">
        <f aca="false">IF(74&lt;5,0,IF(MAX(BU96:BZ96)&gt;BZ97+4+$B$18,1,0))</f>
        <v>0</v>
      </c>
      <c r="CA103" s="364" t="n">
        <f aca="false">IF(75&lt;5,0,IF(MAX(BV96:CA96)&gt;CA97+4+$B$18,1,0))</f>
        <v>0</v>
      </c>
      <c r="CB103" s="364" t="n">
        <f aca="false">IF(76&lt;5,0,IF(MAX(BW96:CB96)&gt;CB97+4+$B$18,1,0))</f>
        <v>0</v>
      </c>
      <c r="CC103" s="364" t="n">
        <f aca="false">IF(77&lt;5,0,IF(MAX(BX96:CC96)&gt;CC97+4+$B$18,1,0))</f>
        <v>0</v>
      </c>
      <c r="CD103" s="364" t="n">
        <f aca="false">IF(78&lt;5,0,IF(MAX(BY96:CD96)&gt;CD97+4+$B$18,1,0))</f>
        <v>0</v>
      </c>
      <c r="CE103" s="364" t="n">
        <f aca="false">IF(79&lt;5,0,IF(MAX(BZ96:CE96)&gt;CE97+4+$B$18,1,0))</f>
        <v>0</v>
      </c>
      <c r="CF103" s="364" t="n">
        <f aca="false">IF(80&lt;5,0,IF(MAX(CA96:CF96)&gt;CF97+4+$B$18,1,0))</f>
        <v>0</v>
      </c>
      <c r="CG103" s="364" t="n">
        <f aca="false">IF(81&lt;5,0,IF(MAX(CB96:CG96)&gt;CG97+4+$B$18,1,0))</f>
        <v>0</v>
      </c>
      <c r="CH103" s="364" t="n">
        <f aca="false">IF(82&lt;5,0,IF(MAX(CC96:CH96)&gt;CH97+4+$B$18,1,0))</f>
        <v>0</v>
      </c>
      <c r="CI103" s="364" t="n">
        <f aca="false">IF(83&lt;5,0,IF(MAX(CD96:CI96)&gt;CI97+4+$B$18,1,0))</f>
        <v>0</v>
      </c>
      <c r="CJ103" s="364" t="n">
        <f aca="false">IF(84&lt;5,0,IF(MAX(CE96:CJ96)&gt;CJ97+4+$B$18,1,0))</f>
        <v>0</v>
      </c>
      <c r="CK103" s="364" t="n">
        <f aca="false">IF(85&lt;5,0,IF(MAX(CF96:CK96)&gt;CK97+4+$B$18,1,0))</f>
        <v>0</v>
      </c>
      <c r="CL103" s="364" t="n">
        <f aca="false">IF(86&lt;5,0,IF(MAX(CG96:CL96)&gt;CL97+4+$B$18,1,0))</f>
        <v>0</v>
      </c>
      <c r="CM103" s="364" t="n">
        <f aca="false">IF(87&lt;5,0,IF(MAX(CH96:CM96)&gt;CM97+4+$B$18,1,0))</f>
        <v>0</v>
      </c>
      <c r="CN103" s="364" t="n">
        <f aca="false">IF(88&lt;5,0,IF(MAX(CI96:CN96)&gt;CN97+4+$B$18,1,0))</f>
        <v>0</v>
      </c>
      <c r="CO103" s="364" t="n">
        <f aca="false">IF(89&lt;5,0,IF(MAX(CJ96:CO96)&gt;CO97+4+$B$18,1,0))</f>
        <v>0</v>
      </c>
      <c r="CP103" s="364" t="n">
        <f aca="false">IF(90&lt;5,0,IF(MAX(CK96:CP96)&gt;CP97+4+$B$18,1,0))</f>
        <v>0</v>
      </c>
      <c r="CQ103" s="364" t="n">
        <f aca="false">IF(91&lt;5,0,IF(MAX(CL96:CQ96)&gt;CQ97+4+$B$18,1,0))</f>
        <v>0</v>
      </c>
      <c r="CR103" s="364" t="n">
        <f aca="false">IF(92&lt;5,0,IF(MAX(CM96:CR96)&gt;CR97+4+$B$18,1,0))</f>
        <v>0</v>
      </c>
      <c r="CS103" s="364" t="n">
        <f aca="false">IF(93&lt;5,0,IF(MAX(CN96:CS96)&gt;CS97+4+$B$18,1,0))</f>
        <v>0</v>
      </c>
      <c r="CT103" s="364" t="n">
        <f aca="false">IF(94&lt;5,0,IF(MAX(CO96:CT96)&gt;CT97+4+$B$18,1,0))</f>
        <v>0</v>
      </c>
      <c r="CU103" s="364" t="n">
        <f aca="false">IF(95&lt;5,0,IF(MAX(CP96:CU96)&gt;CU97+4+$B$18,1,0))</f>
        <v>0</v>
      </c>
      <c r="CV103" s="364" t="n">
        <f aca="false">IF(96&lt;5,0,IF(MAX(CQ96:CV96)&gt;CV97+4+$B$18,1,0))</f>
        <v>0</v>
      </c>
      <c r="CW103" s="364" t="n">
        <f aca="false">IF(97&lt;5,0,IF(MAX(CR96:CW96)&gt;CW97+4+$B$18,1,0))</f>
        <v>0</v>
      </c>
      <c r="CX103" s="364" t="n">
        <f aca="false">IF(98&lt;5,0,IF(MAX(CS96:CX96)&gt;CX97+4+$B$18,1,0))</f>
        <v>0</v>
      </c>
      <c r="CY103" s="364" t="n">
        <f aca="false">IF(99&lt;5,0,IF(MAX(CT96:CY96)&gt;CY97+4+$B$18,1,0))</f>
        <v>0</v>
      </c>
      <c r="CZ103" s="364" t="n">
        <f aca="false">IF(100&lt;5,0,IF(MAX(CU96:CZ96)&gt;CZ97+4+$B$18,1,0))</f>
        <v>0</v>
      </c>
      <c r="DA103" s="364" t="n">
        <f aca="false">IF(101&lt;5,0,IF(MAX(CV96:DA96)&gt;DA97+4+$B$18,1,0))</f>
        <v>0</v>
      </c>
      <c r="DB103" s="364" t="n">
        <f aca="false">IF(102&lt;5,0,IF(MAX(CW96:DB96)&gt;DB97+4+$B$18,1,0))</f>
        <v>0</v>
      </c>
      <c r="DC103" s="364" t="n">
        <f aca="false">IF(103&lt;5,0,IF(MAX(CX96:DC96)&gt;DC97+4+$B$18,1,0))</f>
        <v>0</v>
      </c>
      <c r="DD103" s="364" t="n">
        <f aca="false">IF(104&lt;5,0,IF(MAX(CY96:DD96)&gt;DD97+4+$B$18,1,0))</f>
        <v>0</v>
      </c>
      <c r="DE103" s="364" t="n">
        <f aca="false">IF(105&lt;5,0,IF(MAX(CZ96:DE96)&gt;DE97+4+$B$18,1,0))</f>
        <v>0</v>
      </c>
    </row>
    <row r="104" customFormat="false" ht="13.5" hidden="false" customHeight="true" outlineLevel="0" collapsed="false">
      <c r="A104" s="109" t="s">
        <v>1261</v>
      </c>
      <c r="B104" s="223" t="n">
        <f aca="false">$B$27</f>
        <v>125000</v>
      </c>
      <c r="E104" s="364" t="n">
        <f aca="false">IF(1&lt;5,0,IF(MAX(E96)&gt;E97+5+$B$18,1,0))</f>
        <v>0</v>
      </c>
      <c r="F104" s="364" t="n">
        <f aca="false">IF(2&lt;5,0,IF(MAX(E96:F96)&gt;F97+5+$B$18,1,0))</f>
        <v>0</v>
      </c>
      <c r="G104" s="364" t="n">
        <f aca="false">IF(3&lt;5,0,IF(MAX(E96:G96)&gt;G97+5+$B$18,1,0))</f>
        <v>0</v>
      </c>
      <c r="H104" s="364" t="n">
        <f aca="false">IF(4&lt;5,0,IF(MAX(E96:H96)&gt;H97+5+$B$18,1,0))</f>
        <v>0</v>
      </c>
      <c r="I104" s="364" t="n">
        <f aca="false">IF(5&lt;5,0,IF(MAX(E96:I96)&gt;I97+5+$B$18,1,0))</f>
        <v>0</v>
      </c>
      <c r="J104" s="364" t="n">
        <f aca="false">IF(6&lt;5,0,IF(MAX(E96:J96)&gt;J97+5+$B$18,1,0))</f>
        <v>0</v>
      </c>
      <c r="K104" s="364" t="n">
        <f aca="false">IF(7&lt;5,0,IF(MAX(F96:K96)&gt;K97+5+$B$18,1,0))</f>
        <v>0</v>
      </c>
      <c r="L104" s="364" t="n">
        <f aca="false">IF(8&lt;5,0,IF(MAX(G96:L96)&gt;L97+5+$B$18,1,0))</f>
        <v>0</v>
      </c>
      <c r="M104" s="364" t="n">
        <f aca="false">IF(9&lt;5,0,IF(MAX(H96:M96)&gt;M97+5+$B$18,1,0))</f>
        <v>0</v>
      </c>
      <c r="N104" s="364" t="n">
        <f aca="false">IF(10&lt;5,0,IF(MAX(I96:N96)&gt;N97+5+$B$18,1,0))</f>
        <v>0</v>
      </c>
      <c r="O104" s="364" t="n">
        <f aca="false">IF(11&lt;5,0,IF(MAX(J96:O96)&gt;O97+5+$B$18,1,0))</f>
        <v>0</v>
      </c>
      <c r="P104" s="364" t="n">
        <f aca="false">IF(12&lt;5,0,IF(MAX(K96:P96)&gt;P97+5+$B$18,1,0))</f>
        <v>0</v>
      </c>
      <c r="Q104" s="364" t="n">
        <f aca="false">IF(13&lt;5,0,IF(MAX(L96:Q96)&gt;Q97+5+$B$18,1,0))</f>
        <v>0</v>
      </c>
      <c r="R104" s="364" t="n">
        <f aca="false">IF(14&lt;5,0,IF(MAX(M96:R96)&gt;R97+5+$B$18,1,0))</f>
        <v>0</v>
      </c>
      <c r="S104" s="364" t="n">
        <f aca="false">IF(15&lt;5,0,IF(MAX(N96:S96)&gt;S97+5+$B$18,1,0))</f>
        <v>0</v>
      </c>
      <c r="T104" s="364" t="n">
        <f aca="false">IF(16&lt;5,0,IF(MAX(O96:T96)&gt;T97+5+$B$18,1,0))</f>
        <v>0</v>
      </c>
      <c r="U104" s="364" t="n">
        <f aca="false">IF(17&lt;5,0,IF(MAX(P96:U96)&gt;U97+5+$B$18,1,0))</f>
        <v>0</v>
      </c>
      <c r="V104" s="364" t="n">
        <f aca="false">IF(18&lt;5,0,IF(MAX(Q96:V96)&gt;V97+5+$B$18,1,0))</f>
        <v>0</v>
      </c>
      <c r="W104" s="364" t="n">
        <f aca="false">IF(19&lt;5,0,IF(MAX(R96:W96)&gt;W97+5+$B$18,1,0))</f>
        <v>0</v>
      </c>
      <c r="X104" s="364" t="n">
        <f aca="false">IF(20&lt;5,0,IF(MAX(S96:X96)&gt;X97+5+$B$18,1,0))</f>
        <v>0</v>
      </c>
      <c r="Y104" s="364" t="n">
        <f aca="false">IF(21&lt;5,0,IF(MAX(T96:Y96)&gt;Y97+5+$B$18,1,0))</f>
        <v>0</v>
      </c>
      <c r="Z104" s="364" t="n">
        <f aca="false">IF(22&lt;5,0,IF(MAX(U96:Z96)&gt;Z97+5+$B$18,1,0))</f>
        <v>0</v>
      </c>
      <c r="AA104" s="364" t="n">
        <f aca="false">IF(23&lt;5,0,IF(MAX(V96:AA96)&gt;AA97+5+$B$18,1,0))</f>
        <v>0</v>
      </c>
      <c r="AB104" s="364" t="n">
        <f aca="false">IF(24&lt;5,0,IF(MAX(W96:AB96)&gt;AB97+5+$B$18,1,0))</f>
        <v>0</v>
      </c>
      <c r="AC104" s="364" t="n">
        <f aca="false">IF(25&lt;5,0,IF(MAX(X96:AC96)&gt;AC97+5+$B$18,1,0))</f>
        <v>0</v>
      </c>
      <c r="AD104" s="364" t="n">
        <f aca="false">IF(26&lt;5,0,IF(MAX(Y96:AD96)&gt;AD97+5+$B$18,1,0))</f>
        <v>0</v>
      </c>
      <c r="AE104" s="364" t="n">
        <f aca="false">IF(27&lt;5,0,IF(MAX(Z96:AE96)&gt;AE97+5+$B$18,1,0))</f>
        <v>0</v>
      </c>
      <c r="AF104" s="364" t="n">
        <f aca="false">IF(28&lt;5,0,IF(MAX(AA96:AF96)&gt;AF97+5+$B$18,1,0))</f>
        <v>0</v>
      </c>
      <c r="AG104" s="364" t="n">
        <f aca="false">IF(29&lt;5,0,IF(MAX(AB96:AG96)&gt;AG97+5+$B$18,1,0))</f>
        <v>0</v>
      </c>
      <c r="AH104" s="364" t="n">
        <f aca="false">IF(30&lt;5,0,IF(MAX(AC96:AH96)&gt;AH97+5+$B$18,1,0))</f>
        <v>0</v>
      </c>
      <c r="AI104" s="364" t="n">
        <f aca="false">IF(31&lt;5,0,IF(MAX(AD96:AI96)&gt;AI97+5+$B$18,1,0))</f>
        <v>0</v>
      </c>
      <c r="AJ104" s="364" t="n">
        <f aca="false">IF(32&lt;5,0,IF(MAX(AE96:AJ96)&gt;AJ97+5+$B$18,1,0))</f>
        <v>0</v>
      </c>
      <c r="AK104" s="364" t="n">
        <f aca="false">IF(33&lt;5,0,IF(MAX(AF96:AK96)&gt;AK97+5+$B$18,1,0))</f>
        <v>0</v>
      </c>
      <c r="AL104" s="364" t="n">
        <f aca="false">IF(34&lt;5,0,IF(MAX(AG96:AL96)&gt;AL97+5+$B$18,1,0))</f>
        <v>0</v>
      </c>
      <c r="AM104" s="364" t="n">
        <f aca="false">IF(35&lt;5,0,IF(MAX(AH96:AM96)&gt;AM97+5+$B$18,1,0))</f>
        <v>0</v>
      </c>
      <c r="AN104" s="364" t="n">
        <f aca="false">IF(36&lt;5,0,IF(MAX(AI96:AN96)&gt;AN97+5+$B$18,1,0))</f>
        <v>0</v>
      </c>
      <c r="AO104" s="364" t="n">
        <f aca="false">IF(37&lt;5,0,IF(MAX(AJ96:AO96)&gt;AO97+5+$B$18,1,0))</f>
        <v>0</v>
      </c>
      <c r="AP104" s="364" t="n">
        <f aca="false">IF(38&lt;5,0,IF(MAX(AK96:AP96)&gt;AP97+5+$B$18,1,0))</f>
        <v>0</v>
      </c>
      <c r="AQ104" s="364" t="n">
        <f aca="false">IF(39&lt;5,0,IF(MAX(AL96:AQ96)&gt;AQ97+5+$B$18,1,0))</f>
        <v>0</v>
      </c>
      <c r="AR104" s="364" t="n">
        <f aca="false">IF(40&lt;5,0,IF(MAX(AM96:AR96)&gt;AR97+5+$B$18,1,0))</f>
        <v>0</v>
      </c>
      <c r="AS104" s="364" t="n">
        <f aca="false">IF(41&lt;5,0,IF(MAX(AN96:AS96)&gt;AS97+5+$B$18,1,0))</f>
        <v>0</v>
      </c>
      <c r="AT104" s="364" t="n">
        <f aca="false">IF(42&lt;5,0,IF(MAX(AO96:AT96)&gt;AT97+5+$B$18,1,0))</f>
        <v>0</v>
      </c>
      <c r="AU104" s="364" t="n">
        <f aca="false">IF(43&lt;5,0,IF(MAX(AP96:AU96)&gt;AU97+5+$B$18,1,0))</f>
        <v>0</v>
      </c>
      <c r="AV104" s="364" t="n">
        <f aca="false">IF(44&lt;5,0,IF(MAX(AQ96:AV96)&gt;AV97+5+$B$18,1,0))</f>
        <v>0</v>
      </c>
      <c r="AW104" s="364" t="n">
        <f aca="false">IF(45&lt;5,0,IF(MAX(AR96:AW96)&gt;AW97+5+$B$18,1,0))</f>
        <v>0</v>
      </c>
      <c r="AX104" s="364" t="n">
        <f aca="false">IF(46&lt;5,0,IF(MAX(AS96:AX96)&gt;AX97+5+$B$18,1,0))</f>
        <v>0</v>
      </c>
      <c r="AY104" s="364" t="n">
        <f aca="false">IF(47&lt;5,0,IF(MAX(AT96:AY96)&gt;AY97+5+$B$18,1,0))</f>
        <v>0</v>
      </c>
      <c r="AZ104" s="364" t="n">
        <f aca="false">IF(48&lt;5,0,IF(MAX(AU96:AZ96)&gt;AZ97+5+$B$18,1,0))</f>
        <v>0</v>
      </c>
      <c r="BA104" s="364" t="n">
        <f aca="false">IF(49&lt;5,0,IF(MAX(AV96:BA96)&gt;BA97+5+$B$18,1,0))</f>
        <v>0</v>
      </c>
      <c r="BB104" s="364" t="n">
        <f aca="false">IF(50&lt;5,0,IF(MAX(AW96:BB96)&gt;BB97+5+$B$18,1,0))</f>
        <v>0</v>
      </c>
      <c r="BC104" s="364" t="n">
        <f aca="false">IF(51&lt;5,0,IF(MAX(AX96:BC96)&gt;BC97+5+$B$18,1,0))</f>
        <v>0</v>
      </c>
      <c r="BD104" s="364" t="n">
        <f aca="false">IF(52&lt;5,0,IF(MAX(AY96:BD96)&gt;BD97+5+$B$18,1,0))</f>
        <v>0</v>
      </c>
      <c r="BE104" s="364" t="n">
        <f aca="false">IF(53&lt;5,0,IF(MAX(AZ96:BE96)&gt;BE97+5+$B$18,1,0))</f>
        <v>0</v>
      </c>
      <c r="BF104" s="364" t="n">
        <f aca="false">IF(54&lt;5,0,IF(MAX(BA96:BF96)&gt;BF97+5+$B$18,1,0))</f>
        <v>0</v>
      </c>
      <c r="BG104" s="364" t="n">
        <f aca="false">IF(55&lt;5,0,IF(MAX(BB96:BG96)&gt;BG97+5+$B$18,1,0))</f>
        <v>0</v>
      </c>
      <c r="BH104" s="364" t="n">
        <f aca="false">IF(56&lt;5,0,IF(MAX(BC96:BH96)&gt;BH97+5+$B$18,1,0))</f>
        <v>0</v>
      </c>
      <c r="BI104" s="364" t="n">
        <f aca="false">IF(57&lt;5,0,IF(MAX(BD96:BI96)&gt;BI97+5+$B$18,1,0))</f>
        <v>0</v>
      </c>
      <c r="BJ104" s="364" t="n">
        <f aca="false">IF(58&lt;5,0,IF(MAX(BE96:BJ96)&gt;BJ97+5+$B$18,1,0))</f>
        <v>0</v>
      </c>
      <c r="BK104" s="364" t="n">
        <f aca="false">IF(59&lt;5,0,IF(MAX(BF96:BK96)&gt;BK97+5+$B$18,1,0))</f>
        <v>0</v>
      </c>
      <c r="BL104" s="364" t="n">
        <f aca="false">IF(60&lt;5,0,IF(MAX(BG96:BL96)&gt;BL97+5+$B$18,1,0))</f>
        <v>0</v>
      </c>
      <c r="BM104" s="364" t="n">
        <f aca="false">IF(61&lt;5,0,IF(MAX(BH96:BM96)&gt;BM97+5+$B$18,1,0))</f>
        <v>0</v>
      </c>
      <c r="BN104" s="364" t="n">
        <f aca="false">IF(62&lt;5,0,IF(MAX(BI96:BN96)&gt;BN97+5+$B$18,1,0))</f>
        <v>0</v>
      </c>
      <c r="BO104" s="364" t="n">
        <f aca="false">IF(63&lt;5,0,IF(MAX(BJ96:BO96)&gt;BO97+5+$B$18,1,0))</f>
        <v>0</v>
      </c>
      <c r="BP104" s="364" t="n">
        <f aca="false">IF(64&lt;5,0,IF(MAX(BK96:BP96)&gt;BP97+5+$B$18,1,0))</f>
        <v>0</v>
      </c>
      <c r="BQ104" s="364" t="n">
        <f aca="false">IF(65&lt;5,0,IF(MAX(BL96:BQ96)&gt;BQ97+5+$B$18,1,0))</f>
        <v>0</v>
      </c>
      <c r="BR104" s="364" t="n">
        <f aca="false">IF(66&lt;5,0,IF(MAX(BM96:BR96)&gt;BR97+5+$B$18,1,0))</f>
        <v>0</v>
      </c>
      <c r="BS104" s="364" t="n">
        <f aca="false">IF(67&lt;5,0,IF(MAX(BN96:BS96)&gt;BS97+5+$B$18,1,0))</f>
        <v>0</v>
      </c>
      <c r="BT104" s="364" t="n">
        <f aca="false">IF(68&lt;5,0,IF(MAX(BO96:BT96)&gt;BT97+5+$B$18,1,0))</f>
        <v>0</v>
      </c>
      <c r="BU104" s="364" t="n">
        <f aca="false">IF(69&lt;5,0,IF(MAX(BP96:BU96)&gt;BU97+5+$B$18,1,0))</f>
        <v>0</v>
      </c>
      <c r="BV104" s="364" t="n">
        <f aca="false">IF(70&lt;5,0,IF(MAX(BQ96:BV96)&gt;BV97+5+$B$18,1,0))</f>
        <v>0</v>
      </c>
      <c r="BW104" s="364" t="n">
        <f aca="false">IF(71&lt;5,0,IF(MAX(BR96:BW96)&gt;BW97+5+$B$18,1,0))</f>
        <v>0</v>
      </c>
      <c r="BX104" s="364" t="n">
        <f aca="false">IF(72&lt;5,0,IF(MAX(BS96:BX96)&gt;BX97+5+$B$18,1,0))</f>
        <v>0</v>
      </c>
      <c r="BY104" s="364" t="n">
        <f aca="false">IF(73&lt;5,0,IF(MAX(BT96:BY96)&gt;BY97+5+$B$18,1,0))</f>
        <v>0</v>
      </c>
      <c r="BZ104" s="364" t="n">
        <f aca="false">IF(74&lt;5,0,IF(MAX(BU96:BZ96)&gt;BZ97+5+$B$18,1,0))</f>
        <v>0</v>
      </c>
      <c r="CA104" s="364" t="n">
        <f aca="false">IF(75&lt;5,0,IF(MAX(BV96:CA96)&gt;CA97+5+$B$18,1,0))</f>
        <v>0</v>
      </c>
      <c r="CB104" s="364" t="n">
        <f aca="false">IF(76&lt;5,0,IF(MAX(BW96:CB96)&gt;CB97+5+$B$18,1,0))</f>
        <v>0</v>
      </c>
      <c r="CC104" s="364" t="n">
        <f aca="false">IF(77&lt;5,0,IF(MAX(BX96:CC96)&gt;CC97+5+$B$18,1,0))</f>
        <v>0</v>
      </c>
      <c r="CD104" s="364" t="n">
        <f aca="false">IF(78&lt;5,0,IF(MAX(BY96:CD96)&gt;CD97+5+$B$18,1,0))</f>
        <v>0</v>
      </c>
      <c r="CE104" s="364" t="n">
        <f aca="false">IF(79&lt;5,0,IF(MAX(BZ96:CE96)&gt;CE97+5+$B$18,1,0))</f>
        <v>0</v>
      </c>
      <c r="CF104" s="364" t="n">
        <f aca="false">IF(80&lt;5,0,IF(MAX(CA96:CF96)&gt;CF97+5+$B$18,1,0))</f>
        <v>0</v>
      </c>
      <c r="CG104" s="364" t="n">
        <f aca="false">IF(81&lt;5,0,IF(MAX(CB96:CG96)&gt;CG97+5+$B$18,1,0))</f>
        <v>0</v>
      </c>
      <c r="CH104" s="364" t="n">
        <f aca="false">IF(82&lt;5,0,IF(MAX(CC96:CH96)&gt;CH97+5+$B$18,1,0))</f>
        <v>0</v>
      </c>
      <c r="CI104" s="364" t="n">
        <f aca="false">IF(83&lt;5,0,IF(MAX(CD96:CI96)&gt;CI97+5+$B$18,1,0))</f>
        <v>0</v>
      </c>
      <c r="CJ104" s="364" t="n">
        <f aca="false">IF(84&lt;5,0,IF(MAX(CE96:CJ96)&gt;CJ97+5+$B$18,1,0))</f>
        <v>0</v>
      </c>
      <c r="CK104" s="364" t="n">
        <f aca="false">IF(85&lt;5,0,IF(MAX(CF96:CK96)&gt;CK97+5+$B$18,1,0))</f>
        <v>0</v>
      </c>
      <c r="CL104" s="364" t="n">
        <f aca="false">IF(86&lt;5,0,IF(MAX(CG96:CL96)&gt;CL97+5+$B$18,1,0))</f>
        <v>0</v>
      </c>
      <c r="CM104" s="364" t="n">
        <f aca="false">IF(87&lt;5,0,IF(MAX(CH96:CM96)&gt;CM97+5+$B$18,1,0))</f>
        <v>0</v>
      </c>
      <c r="CN104" s="364" t="n">
        <f aca="false">IF(88&lt;5,0,IF(MAX(CI96:CN96)&gt;CN97+5+$B$18,1,0))</f>
        <v>0</v>
      </c>
      <c r="CO104" s="364" t="n">
        <f aca="false">IF(89&lt;5,0,IF(MAX(CJ96:CO96)&gt;CO97+5+$B$18,1,0))</f>
        <v>0</v>
      </c>
      <c r="CP104" s="364" t="n">
        <f aca="false">IF(90&lt;5,0,IF(MAX(CK96:CP96)&gt;CP97+5+$B$18,1,0))</f>
        <v>0</v>
      </c>
      <c r="CQ104" s="364" t="n">
        <f aca="false">IF(91&lt;5,0,IF(MAX(CL96:CQ96)&gt;CQ97+5+$B$18,1,0))</f>
        <v>0</v>
      </c>
      <c r="CR104" s="364" t="n">
        <f aca="false">IF(92&lt;5,0,IF(MAX(CM96:CR96)&gt;CR97+5+$B$18,1,0))</f>
        <v>0</v>
      </c>
      <c r="CS104" s="364" t="n">
        <f aca="false">IF(93&lt;5,0,IF(MAX(CN96:CS96)&gt;CS97+5+$B$18,1,0))</f>
        <v>0</v>
      </c>
      <c r="CT104" s="364" t="n">
        <f aca="false">IF(94&lt;5,0,IF(MAX(CO96:CT96)&gt;CT97+5+$B$18,1,0))</f>
        <v>0</v>
      </c>
      <c r="CU104" s="364" t="n">
        <f aca="false">IF(95&lt;5,0,IF(MAX(CP96:CU96)&gt;CU97+5+$B$18,1,0))</f>
        <v>0</v>
      </c>
      <c r="CV104" s="364" t="n">
        <f aca="false">IF(96&lt;5,0,IF(MAX(CQ96:CV96)&gt;CV97+5+$B$18,1,0))</f>
        <v>0</v>
      </c>
      <c r="CW104" s="364" t="n">
        <f aca="false">IF(97&lt;5,0,IF(MAX(CR96:CW96)&gt;CW97+5+$B$18,1,0))</f>
        <v>0</v>
      </c>
      <c r="CX104" s="364" t="n">
        <f aca="false">IF(98&lt;5,0,IF(MAX(CS96:CX96)&gt;CX97+5+$B$18,1,0))</f>
        <v>0</v>
      </c>
      <c r="CY104" s="364" t="n">
        <f aca="false">IF(99&lt;5,0,IF(MAX(CT96:CY96)&gt;CY97+5+$B$18,1,0))</f>
        <v>0</v>
      </c>
      <c r="CZ104" s="364" t="n">
        <f aca="false">IF(100&lt;5,0,IF(MAX(CU96:CZ96)&gt;CZ97+5+$B$18,1,0))</f>
        <v>0</v>
      </c>
      <c r="DA104" s="364" t="n">
        <f aca="false">IF(101&lt;5,0,IF(MAX(CV96:DA96)&gt;DA97+5+$B$18,1,0))</f>
        <v>0</v>
      </c>
      <c r="DB104" s="364" t="n">
        <f aca="false">IF(102&lt;5,0,IF(MAX(CW96:DB96)&gt;DB97+5+$B$18,1,0))</f>
        <v>0</v>
      </c>
      <c r="DC104" s="364" t="n">
        <f aca="false">IF(103&lt;5,0,IF(MAX(CX96:DC96)&gt;DC97+5+$B$18,1,0))</f>
        <v>0</v>
      </c>
      <c r="DD104" s="364" t="n">
        <f aca="false">IF(104&lt;5,0,IF(MAX(CY96:DD96)&gt;DD97+5+$B$18,1,0))</f>
        <v>0</v>
      </c>
      <c r="DE104" s="364" t="n">
        <f aca="false">IF(105&lt;5,0,IF(MAX(CZ96:DE96)&gt;DE97+5+$B$18,1,0))</f>
        <v>0</v>
      </c>
    </row>
    <row r="106" customFormat="false" ht="13.5" hidden="false" customHeight="true" outlineLevel="0" collapsed="false">
      <c r="A106" s="109" t="s">
        <v>1262</v>
      </c>
      <c r="B106" s="360" t="n">
        <v>5</v>
      </c>
    </row>
    <row r="107" customFormat="false" ht="13.5" hidden="false" customHeight="true" outlineLevel="0" collapsed="false">
      <c r="A107" s="109" t="s">
        <v>1263</v>
      </c>
      <c r="B107" s="360" t="n">
        <v>0.5</v>
      </c>
    </row>
    <row r="108" customFormat="false" ht="13.5" hidden="false" customHeight="true" outlineLevel="0" collapsed="false">
      <c r="A108" s="1" t="s">
        <v>1264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13281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16" t="s">
        <v>1265</v>
      </c>
    </row>
    <row r="2" customFormat="false" ht="13.5" hidden="false" customHeight="true" outlineLevel="0" collapsed="false">
      <c r="A2" s="366" t="s">
        <v>1266</v>
      </c>
    </row>
    <row r="3" customFormat="false" ht="15" hidden="false" customHeight="true" outlineLevel="0" collapsed="false">
      <c r="A3" s="367" t="s">
        <v>1267</v>
      </c>
    </row>
    <row r="4" customFormat="false" ht="15" hidden="false" customHeight="true" outlineLevel="0" collapsed="false">
      <c r="A4" s="118" t="s">
        <v>1268</v>
      </c>
      <c r="C4" s="368" t="n">
        <f aca="false">Assumptions!$B$15</f>
        <v>0.015</v>
      </c>
      <c r="D4" s="369" t="s">
        <v>1269</v>
      </c>
    </row>
    <row r="5" customFormat="false" ht="15" hidden="false" customHeight="true" outlineLevel="0" collapsed="false">
      <c r="A5" s="118" t="s">
        <v>1270</v>
      </c>
      <c r="C5" s="370" t="n">
        <f aca="false">95034/12993776.05</f>
        <v>0.00731380929102591</v>
      </c>
      <c r="D5" s="369" t="s">
        <v>1271</v>
      </c>
      <c r="F5" s="118" t="s">
        <v>1272</v>
      </c>
      <c r="H5" s="371" t="n">
        <f aca="false">IF(S19=1,Z19,0)</f>
        <v>561958.477125</v>
      </c>
    </row>
    <row r="6" customFormat="false" ht="15" hidden="false" customHeight="true" outlineLevel="0" collapsed="false">
      <c r="A6" s="118" t="s">
        <v>1273</v>
      </c>
      <c r="C6" s="368" t="n">
        <f aca="false">Assumptions!$B$17</f>
        <v>0.0325</v>
      </c>
      <c r="D6" s="369" t="s">
        <v>1274</v>
      </c>
    </row>
    <row r="7" customFormat="false" ht="15" hidden="false" customHeight="true" outlineLevel="0" collapsed="false">
      <c r="A7" s="118" t="s">
        <v>1275</v>
      </c>
      <c r="C7" s="372" t="n">
        <v>1800000</v>
      </c>
      <c r="D7" s="369" t="s">
        <v>1276</v>
      </c>
      <c r="F7" s="118" t="s">
        <v>1277</v>
      </c>
      <c r="H7" s="371" t="n">
        <f aca="false">SUMPRODUCT(($S$11:$S$54=1)*($H$11:$H$54&lt;=$C$8)*$Z$11:$Z$54)</f>
        <v>692876.895125</v>
      </c>
    </row>
    <row r="8" customFormat="false" ht="15" hidden="false" customHeight="true" outlineLevel="0" collapsed="false">
      <c r="A8" s="118" t="s">
        <v>1278</v>
      </c>
      <c r="C8" s="373" t="n">
        <f aca="false">SUMPRODUCT(--(Model!$B$4:$DE$4="Actuals"))-3</f>
        <v>6</v>
      </c>
      <c r="D8" s="369" t="s">
        <v>1279</v>
      </c>
      <c r="F8" s="118" t="s">
        <v>1280</v>
      </c>
      <c r="H8" s="371" t="n">
        <f aca="false">SUMIFS($O$11:$O$54,$H$11:$H$54,"&lt;="&amp;$C$8)</f>
        <v>692876.89</v>
      </c>
    </row>
    <row r="9" customFormat="false" ht="15" hidden="false" customHeight="true" outlineLevel="0" collapsed="false">
      <c r="A9" s="118" t="s">
        <v>1281</v>
      </c>
      <c r="C9" s="374" t="n">
        <f aca="false">SUM(AC11:AC54)</f>
        <v>0.00512500014156103</v>
      </c>
      <c r="D9" s="369" t="s">
        <v>1282</v>
      </c>
      <c r="F9" s="118" t="s">
        <v>1283</v>
      </c>
      <c r="H9" s="375" t="n">
        <v>10</v>
      </c>
    </row>
    <row r="10" customFormat="false" ht="48" hidden="false" customHeight="true" outlineLevel="0" collapsed="false">
      <c r="A10" s="185" t="s">
        <v>470</v>
      </c>
      <c r="B10" s="185" t="s">
        <v>1284</v>
      </c>
      <c r="C10" s="185" t="s">
        <v>594</v>
      </c>
      <c r="D10" s="185" t="s">
        <v>595</v>
      </c>
      <c r="E10" s="185" t="s">
        <v>1285</v>
      </c>
      <c r="F10" s="185" t="s">
        <v>1286</v>
      </c>
      <c r="G10" s="185" t="s">
        <v>1287</v>
      </c>
      <c r="H10" s="185" t="s">
        <v>1288</v>
      </c>
      <c r="I10" s="185" t="s">
        <v>1289</v>
      </c>
      <c r="J10" s="185" t="s">
        <v>1290</v>
      </c>
      <c r="K10" s="185" t="s">
        <v>1291</v>
      </c>
      <c r="L10" s="185" t="s">
        <v>1292</v>
      </c>
      <c r="M10" s="185" t="s">
        <v>1291</v>
      </c>
      <c r="N10" s="185" t="s">
        <v>1293</v>
      </c>
      <c r="O10" s="185" t="s">
        <v>1294</v>
      </c>
      <c r="P10" s="185" t="s">
        <v>1291</v>
      </c>
      <c r="Q10" s="185" t="s">
        <v>1295</v>
      </c>
      <c r="R10" s="185" t="s">
        <v>1296</v>
      </c>
      <c r="S10" s="185" t="s">
        <v>1297</v>
      </c>
      <c r="T10" s="185" t="s">
        <v>1298</v>
      </c>
      <c r="U10" s="185" t="s">
        <v>1299</v>
      </c>
      <c r="V10" s="185" t="s">
        <v>1300</v>
      </c>
      <c r="W10" s="185" t="s">
        <v>1301</v>
      </c>
      <c r="X10" s="185" t="s">
        <v>1302</v>
      </c>
      <c r="Y10" s="185" t="s">
        <v>1303</v>
      </c>
      <c r="Z10" s="185" t="s">
        <v>1304</v>
      </c>
      <c r="AA10" s="185" t="s">
        <v>1305</v>
      </c>
      <c r="AB10" s="185" t="s">
        <v>1306</v>
      </c>
      <c r="AC10" s="185" t="s">
        <v>1307</v>
      </c>
      <c r="AD10" s="185" t="s">
        <v>657</v>
      </c>
    </row>
    <row r="11" customFormat="false" ht="15" hidden="false" customHeight="true" outlineLevel="0" collapsed="false">
      <c r="A11" s="376" t="str">
        <f aca="false">Projects!$A$2</f>
        <v>Crenshaw</v>
      </c>
      <c r="B11" s="377"/>
      <c r="C11" s="378" t="str">
        <f aca="false">Projects!$F$2</f>
        <v>No</v>
      </c>
      <c r="D11" s="378" t="str">
        <f aca="false">Projects!$G$2</f>
        <v>Yes</v>
      </c>
      <c r="E11" s="379"/>
      <c r="F11" s="380" t="n">
        <f aca="false">IF($E11&lt;&gt;"",$E11,Projects!$B$2)</f>
        <v>7126075</v>
      </c>
      <c r="G11" s="377"/>
      <c r="H11" s="381" t="n">
        <f aca="false">IF($G11&lt;&gt;"",$G11,Projects!$C$2)</f>
        <v>1</v>
      </c>
      <c r="I11" s="382"/>
      <c r="J11" s="379"/>
      <c r="K11" s="377"/>
      <c r="L11" s="379"/>
      <c r="M11" s="377"/>
      <c r="N11" s="382"/>
      <c r="O11" s="379"/>
      <c r="P11" s="377"/>
      <c r="Q11" s="379"/>
      <c r="R11" s="377"/>
      <c r="S11" s="381" t="n">
        <f aca="false">IF(AND($C11="Yes",$D11="Yes"),1,0)</f>
        <v>0</v>
      </c>
      <c r="T11" s="380" t="n">
        <f aca="false">$S11*IF($J11&lt;&gt;"",$J11,$F11*IF($I11&lt;&gt;"",$I11,$C$4)/(1+IF($I11&lt;&gt;"",$I11,$C$4)))</f>
        <v>0</v>
      </c>
      <c r="U11" s="380" t="n">
        <f aca="false">$S11*IF($L11&lt;&gt;"",$L11,$F11*$C$5)</f>
        <v>0</v>
      </c>
      <c r="V11" s="380" t="n">
        <f aca="false">$S11*$F11*IF($N11&lt;&gt;"",$N11,$C$6)</f>
        <v>0</v>
      </c>
      <c r="W11" s="380" t="n">
        <f aca="false">MAX(0,$V11-$U11)</f>
        <v>0</v>
      </c>
      <c r="X11" s="381" t="n">
        <f aca="false">IF($B11&lt;&gt;"",$B11,100+$H11)</f>
        <v>101</v>
      </c>
      <c r="Y11" s="380" t="n">
        <f aca="false">$S11*MAX(0,MIN($W11,$C$7-SUMIFS($W$11:$W$54,$X$11:$X$54,"&lt;"&amp;$X11)))</f>
        <v>0</v>
      </c>
      <c r="Z11" s="380" t="n">
        <f aca="false">$W11-$Y11</f>
        <v>0</v>
      </c>
      <c r="AA11" s="383" t="n">
        <f aca="false">$S11*($T11-$U11-$Z11)</f>
        <v>0</v>
      </c>
      <c r="AB11" s="383" t="n">
        <f aca="false">$S11*($T11-$U11)</f>
        <v>0</v>
      </c>
      <c r="AC11" s="380" t="n">
        <f aca="false">IF(AND($S11=1,$H11&lt;=$C$8),$Z11-N($O11),0)</f>
        <v>0</v>
      </c>
      <c r="AD11" s="384"/>
    </row>
    <row r="12" customFormat="false" ht="15" hidden="false" customHeight="true" outlineLevel="0" collapsed="false">
      <c r="A12" s="385" t="str">
        <f aca="false">Projects!$A$3</f>
        <v>Ramsgate</v>
      </c>
      <c r="B12" s="377"/>
      <c r="C12" s="386" t="str">
        <f aca="false">Projects!$F$3</f>
        <v>No</v>
      </c>
      <c r="D12" s="386" t="str">
        <f aca="false">Projects!$G$3</f>
        <v>Yes</v>
      </c>
      <c r="E12" s="379"/>
      <c r="F12" s="387" t="n">
        <f aca="false">IF($E12&lt;&gt;"",$E12,Projects!$B$3)</f>
        <v>20176449</v>
      </c>
      <c r="G12" s="377"/>
      <c r="H12" s="388" t="n">
        <f aca="false">IF($G12&lt;&gt;"",$G12,Projects!$C$3)</f>
        <v>1</v>
      </c>
      <c r="I12" s="382"/>
      <c r="J12" s="379"/>
      <c r="K12" s="377"/>
      <c r="L12" s="379"/>
      <c r="M12" s="377"/>
      <c r="N12" s="382"/>
      <c r="O12" s="379"/>
      <c r="P12" s="377"/>
      <c r="Q12" s="379"/>
      <c r="R12" s="377"/>
      <c r="S12" s="388" t="n">
        <f aca="false">IF(AND($C12="Yes",$D12="Yes"),1,0)</f>
        <v>0</v>
      </c>
      <c r="T12" s="387" t="n">
        <f aca="false">$S12*IF($J12&lt;&gt;"",$J12,$F12*IF($I12&lt;&gt;"",$I12,$C$4)/(1+IF($I12&lt;&gt;"",$I12,$C$4)))</f>
        <v>0</v>
      </c>
      <c r="U12" s="387" t="n">
        <f aca="false">$S12*IF($L12&lt;&gt;"",$L12,$F12*$C$5)</f>
        <v>0</v>
      </c>
      <c r="V12" s="387" t="n">
        <f aca="false">$S12*$F12*IF($N12&lt;&gt;"",$N12,$C$6)</f>
        <v>0</v>
      </c>
      <c r="W12" s="387" t="n">
        <f aca="false">MAX(0,$V12-$U12)</f>
        <v>0</v>
      </c>
      <c r="X12" s="388" t="n">
        <f aca="false">IF($B12&lt;&gt;"",$B12,100+$H12)</f>
        <v>101</v>
      </c>
      <c r="Y12" s="387" t="n">
        <f aca="false">$S12*MAX(0,MIN($W12,$C$7-SUMIFS($W$11:$W$54,$X$11:$X$54,"&lt;"&amp;$X12)))</f>
        <v>0</v>
      </c>
      <c r="Z12" s="387" t="n">
        <f aca="false">$W12-$Y12</f>
        <v>0</v>
      </c>
      <c r="AA12" s="389" t="n">
        <f aca="false">$S12*($T12-$U12-$Z12)</f>
        <v>0</v>
      </c>
      <c r="AB12" s="389" t="n">
        <f aca="false">$S12*($T12-$U12)</f>
        <v>0</v>
      </c>
      <c r="AC12" s="387" t="n">
        <f aca="false">IF(AND($S12=1,$H12&lt;=$C$8),$Z12-N($O12),0)</f>
        <v>0</v>
      </c>
      <c r="AD12" s="390"/>
    </row>
    <row r="13" customFormat="false" ht="15" hidden="false" customHeight="true" outlineLevel="0" collapsed="false">
      <c r="A13" s="376" t="str">
        <f aca="false">Projects!$A$4</f>
        <v>Califa</v>
      </c>
      <c r="B13" s="377" t="n">
        <v>1</v>
      </c>
      <c r="C13" s="378" t="str">
        <f aca="false">Projects!$F$4</f>
        <v>Yes</v>
      </c>
      <c r="D13" s="378" t="str">
        <f aca="false">Projects!$G$4</f>
        <v>Yes</v>
      </c>
      <c r="E13" s="379" t="n">
        <v>13425608</v>
      </c>
      <c r="F13" s="380" t="n">
        <f aca="false">IF($E13&lt;&gt;"",$E13,Projects!$B$4)</f>
        <v>13425608</v>
      </c>
      <c r="G13" s="377" t="n">
        <v>-99</v>
      </c>
      <c r="H13" s="381" t="n">
        <f aca="false">IF($G13&lt;&gt;"",$G13,Projects!$C$4)</f>
        <v>-99</v>
      </c>
      <c r="I13" s="382"/>
      <c r="J13" s="379" t="n">
        <v>198408</v>
      </c>
      <c r="K13" s="377" t="n">
        <v>-99</v>
      </c>
      <c r="L13" s="379" t="n">
        <v>97905</v>
      </c>
      <c r="M13" s="377" t="n">
        <v>-99</v>
      </c>
      <c r="N13" s="382"/>
      <c r="O13" s="379"/>
      <c r="P13" s="377"/>
      <c r="Q13" s="379"/>
      <c r="R13" s="377"/>
      <c r="S13" s="381" t="n">
        <f aca="false">IF(AND($C13="Yes",$D13="Yes"),1,0)</f>
        <v>1</v>
      </c>
      <c r="T13" s="380" t="n">
        <f aca="false">$S13*IF($J13&lt;&gt;"",$J13,$F13*IF($I13&lt;&gt;"",$I13,$C$4)/(1+IF($I13&lt;&gt;"",$I13,$C$4)))</f>
        <v>198408</v>
      </c>
      <c r="U13" s="380" t="n">
        <f aca="false">$S13*IF($L13&lt;&gt;"",$L13,$F13*$C$5)</f>
        <v>97905</v>
      </c>
      <c r="V13" s="380" t="n">
        <f aca="false">$S13*$F13*IF($N13&lt;&gt;"",$N13,$C$6)</f>
        <v>436332.26</v>
      </c>
      <c r="W13" s="380" t="n">
        <f aca="false">MAX(0,$V13-$U13)</f>
        <v>338427.26</v>
      </c>
      <c r="X13" s="381" t="n">
        <f aca="false">IF($B13&lt;&gt;"",$B13,100+$H13)</f>
        <v>1</v>
      </c>
      <c r="Y13" s="380" t="n">
        <f aca="false">$S13*MAX(0,MIN($W13,$C$7-SUMIFS($W$11:$W$54,$X$11:$X$54,"&lt;"&amp;$X13)))</f>
        <v>338427.26</v>
      </c>
      <c r="Z13" s="380" t="n">
        <f aca="false">$W13-$Y13</f>
        <v>0</v>
      </c>
      <c r="AA13" s="383" t="n">
        <f aca="false">$S13*($T13-$U13-$Z13)</f>
        <v>100503</v>
      </c>
      <c r="AB13" s="383" t="n">
        <f aca="false">$S13*($T13-$U13)</f>
        <v>100503</v>
      </c>
      <c r="AC13" s="380" t="n">
        <f aca="false">IF(AND($S13=1,$H13&lt;=$C$8),$Z13-N($O13),0)</f>
        <v>0</v>
      </c>
      <c r="AD13" s="384" t="s">
        <v>1308</v>
      </c>
    </row>
    <row r="14" customFormat="false" ht="15" hidden="false" customHeight="true" outlineLevel="0" collapsed="false">
      <c r="A14" s="385" t="str">
        <f aca="false">Projects!$A$5</f>
        <v>Whipple</v>
      </c>
      <c r="B14" s="377" t="n">
        <v>2</v>
      </c>
      <c r="C14" s="386" t="str">
        <f aca="false">Projects!$F$5</f>
        <v>Yes</v>
      </c>
      <c r="D14" s="386" t="str">
        <f aca="false">Projects!$G$5</f>
        <v>Yes</v>
      </c>
      <c r="E14" s="379" t="n">
        <v>15347360</v>
      </c>
      <c r="F14" s="387" t="n">
        <f aca="false">IF($E14&lt;&gt;"",$E14,Projects!$B$5)</f>
        <v>15347360</v>
      </c>
      <c r="G14" s="377" t="n">
        <v>-99</v>
      </c>
      <c r="H14" s="388" t="n">
        <f aca="false">IF($G14&lt;&gt;"",$G14,Projects!$C$5)</f>
        <v>-99</v>
      </c>
      <c r="I14" s="382"/>
      <c r="J14" s="379" t="n">
        <v>226808</v>
      </c>
      <c r="K14" s="377" t="n">
        <v>-99</v>
      </c>
      <c r="L14" s="379" t="n">
        <v>110685</v>
      </c>
      <c r="M14" s="377" t="n">
        <v>-99</v>
      </c>
      <c r="N14" s="382"/>
      <c r="O14" s="379"/>
      <c r="P14" s="377"/>
      <c r="Q14" s="379"/>
      <c r="R14" s="377"/>
      <c r="S14" s="388" t="n">
        <f aca="false">IF(AND($C14="Yes",$D14="Yes"),1,0)</f>
        <v>1</v>
      </c>
      <c r="T14" s="387" t="n">
        <f aca="false">$S14*IF($J14&lt;&gt;"",$J14,$F14*IF($I14&lt;&gt;"",$I14,$C$4)/(1+IF($I14&lt;&gt;"",$I14,$C$4)))</f>
        <v>226808</v>
      </c>
      <c r="U14" s="387" t="n">
        <f aca="false">$S14*IF($L14&lt;&gt;"",$L14,$F14*$C$5)</f>
        <v>110685</v>
      </c>
      <c r="V14" s="387" t="n">
        <f aca="false">$S14*$F14*IF($N14&lt;&gt;"",$N14,$C$6)</f>
        <v>498789.2</v>
      </c>
      <c r="W14" s="387" t="n">
        <f aca="false">MAX(0,$V14-$U14)</f>
        <v>388104.2</v>
      </c>
      <c r="X14" s="388" t="n">
        <f aca="false">IF($B14&lt;&gt;"",$B14,100+$H14)</f>
        <v>2</v>
      </c>
      <c r="Y14" s="387" t="n">
        <f aca="false">$S14*MAX(0,MIN($W14,$C$7-SUMIFS($W$11:$W$54,$X$11:$X$54,"&lt;"&amp;$X14)))</f>
        <v>388104.2</v>
      </c>
      <c r="Z14" s="387" t="n">
        <f aca="false">$W14-$Y14</f>
        <v>0</v>
      </c>
      <c r="AA14" s="389" t="n">
        <f aca="false">$S14*($T14-$U14-$Z14)</f>
        <v>116123</v>
      </c>
      <c r="AB14" s="389" t="n">
        <f aca="false">$S14*($T14-$U14)</f>
        <v>116123</v>
      </c>
      <c r="AC14" s="387" t="n">
        <f aca="false">IF(AND($S14=1,$H14&lt;=$C$8),$Z14-N($O14),0)</f>
        <v>0</v>
      </c>
      <c r="AD14" s="390" t="s">
        <v>1308</v>
      </c>
    </row>
    <row r="15" customFormat="false" ht="15" hidden="false" customHeight="true" outlineLevel="0" collapsed="false">
      <c r="A15" s="376" t="str">
        <f aca="false">Projects!$A$6</f>
        <v>Nelrose</v>
      </c>
      <c r="B15" s="377"/>
      <c r="C15" s="378" t="str">
        <f aca="false">Projects!$F$6</f>
        <v>No</v>
      </c>
      <c r="D15" s="378" t="str">
        <f aca="false">Projects!$G$6</f>
        <v>Yes</v>
      </c>
      <c r="E15" s="379"/>
      <c r="F15" s="380" t="n">
        <f aca="false">IF($E15&lt;&gt;"",$E15,Projects!$B$6)</f>
        <v>3623245</v>
      </c>
      <c r="G15" s="377"/>
      <c r="H15" s="381" t="n">
        <f aca="false">IF($G15&lt;&gt;"",$G15,Projects!$C$6)</f>
        <v>1</v>
      </c>
      <c r="I15" s="382"/>
      <c r="J15" s="379"/>
      <c r="K15" s="377"/>
      <c r="L15" s="379"/>
      <c r="M15" s="377"/>
      <c r="N15" s="382"/>
      <c r="O15" s="379"/>
      <c r="P15" s="377"/>
      <c r="Q15" s="379"/>
      <c r="R15" s="377"/>
      <c r="S15" s="381" t="n">
        <f aca="false">IF(AND($C15="Yes",$D15="Yes"),1,0)</f>
        <v>0</v>
      </c>
      <c r="T15" s="380" t="n">
        <f aca="false">$S15*IF($J15&lt;&gt;"",$J15,$F15*IF($I15&lt;&gt;"",$I15,$C$4)/(1+IF($I15&lt;&gt;"",$I15,$C$4)))</f>
        <v>0</v>
      </c>
      <c r="U15" s="380" t="n">
        <f aca="false">$S15*IF($L15&lt;&gt;"",$L15,$F15*$C$5)</f>
        <v>0</v>
      </c>
      <c r="V15" s="380" t="n">
        <f aca="false">$S15*$F15*IF($N15&lt;&gt;"",$N15,$C$6)</f>
        <v>0</v>
      </c>
      <c r="W15" s="380" t="n">
        <f aca="false">MAX(0,$V15-$U15)</f>
        <v>0</v>
      </c>
      <c r="X15" s="381" t="n">
        <f aca="false">IF($B15&lt;&gt;"",$B15,100+$H15)</f>
        <v>101</v>
      </c>
      <c r="Y15" s="380" t="n">
        <f aca="false">$S15*MAX(0,MIN($W15,$C$7-SUMIFS($W$11:$W$54,$X$11:$X$54,"&lt;"&amp;$X15)))</f>
        <v>0</v>
      </c>
      <c r="Z15" s="380" t="n">
        <f aca="false">$W15-$Y15</f>
        <v>0</v>
      </c>
      <c r="AA15" s="383" t="n">
        <f aca="false">$S15*($T15-$U15-$Z15)</f>
        <v>0</v>
      </c>
      <c r="AB15" s="383" t="n">
        <f aca="false">$S15*($T15-$U15)</f>
        <v>0</v>
      </c>
      <c r="AC15" s="380" t="n">
        <f aca="false">IF(AND($S15=1,$H15&lt;=$C$8),$Z15-N($O15),0)</f>
        <v>0</v>
      </c>
      <c r="AD15" s="384"/>
    </row>
    <row r="16" customFormat="false" ht="15" hidden="false" customHeight="true" outlineLevel="0" collapsed="false">
      <c r="A16" s="385" t="str">
        <f aca="false">Projects!$A$7</f>
        <v>Francis</v>
      </c>
      <c r="B16" s="377" t="n">
        <v>4</v>
      </c>
      <c r="C16" s="386" t="str">
        <f aca="false">Projects!$F$7</f>
        <v>Yes</v>
      </c>
      <c r="D16" s="386" t="str">
        <f aca="false">Projects!$G$7</f>
        <v>Yes</v>
      </c>
      <c r="E16" s="379"/>
      <c r="F16" s="387" t="n">
        <f aca="false">IF($E16&lt;&gt;"",$E16,Projects!$B$7)</f>
        <v>42794765</v>
      </c>
      <c r="G16" s="377" t="n">
        <v>4</v>
      </c>
      <c r="H16" s="388" t="n">
        <f aca="false">IF($G16&lt;&gt;"",$G16,Projects!$C$7)</f>
        <v>4</v>
      </c>
      <c r="I16" s="382" t="n">
        <v>0.02</v>
      </c>
      <c r="J16" s="379" t="n">
        <v>839113</v>
      </c>
      <c r="K16" s="377" t="n">
        <v>4</v>
      </c>
      <c r="L16" s="379" t="n">
        <v>313735</v>
      </c>
      <c r="M16" s="377" t="n">
        <v>5</v>
      </c>
      <c r="N16" s="382"/>
      <c r="O16" s="379" t="n">
        <v>365613.17</v>
      </c>
      <c r="P16" s="377" t="n">
        <v>6</v>
      </c>
      <c r="Q16" s="379"/>
      <c r="R16" s="377"/>
      <c r="S16" s="388" t="n">
        <f aca="false">IF(AND($C16="Yes",$D16="Yes"),1,0)</f>
        <v>1</v>
      </c>
      <c r="T16" s="387" t="n">
        <f aca="false">$S16*IF($J16&lt;&gt;"",$J16,$F16*IF($I16&lt;&gt;"",$I16,$C$4)/(1+IF($I16&lt;&gt;"",$I16,$C$4)))</f>
        <v>839113</v>
      </c>
      <c r="U16" s="387" t="n">
        <f aca="false">$S16*IF($L16&lt;&gt;"",$L16,$F16*$C$5)</f>
        <v>313735</v>
      </c>
      <c r="V16" s="387" t="n">
        <f aca="false">$S16*$F16*IF($N16&lt;&gt;"",$N16,$C$6)</f>
        <v>1390829.8625</v>
      </c>
      <c r="W16" s="387" t="n">
        <f aca="false">MAX(0,$V16-$U16)</f>
        <v>1077094.8625</v>
      </c>
      <c r="X16" s="388" t="n">
        <f aca="false">IF($B16&lt;&gt;"",$B16,100+$H16)</f>
        <v>4</v>
      </c>
      <c r="Y16" s="387" t="n">
        <f aca="false">$S16*MAX(0,MIN($W16,$C$7-SUMIFS($W$11:$W$54,$X$11:$X$54,"&lt;"&amp;$X16)))</f>
        <v>711481.689</v>
      </c>
      <c r="Z16" s="387" t="n">
        <f aca="false">$W16-$Y16</f>
        <v>365613.1735</v>
      </c>
      <c r="AA16" s="389" t="n">
        <f aca="false">$S16*($T16-$U16-$Z16)</f>
        <v>159764.8265</v>
      </c>
      <c r="AB16" s="389" t="n">
        <f aca="false">$S16*($T16-$U16)</f>
        <v>525378</v>
      </c>
      <c r="AC16" s="387" t="n">
        <f aca="false">IF(AND($S16=1,$H16&lt;=$C$8),$Z16-N($O16),0)</f>
        <v>0.00350000004982576</v>
      </c>
      <c r="AD16" s="390" t="s">
        <v>1309</v>
      </c>
    </row>
    <row r="17" customFormat="false" ht="15" hidden="false" customHeight="true" outlineLevel="0" collapsed="false">
      <c r="A17" s="376" t="str">
        <f aca="false">Projects!$A$8</f>
        <v>Lexington</v>
      </c>
      <c r="B17" s="377" t="n">
        <v>5</v>
      </c>
      <c r="C17" s="378" t="str">
        <f aca="false">Projects!$F$8</f>
        <v>Yes</v>
      </c>
      <c r="D17" s="378" t="str">
        <f aca="false">Projects!$G$8</f>
        <v>Yes</v>
      </c>
      <c r="E17" s="379"/>
      <c r="F17" s="380" t="n">
        <f aca="false">IF($E17&lt;&gt;"",$E17,Projects!$B$8)</f>
        <v>12993776.05</v>
      </c>
      <c r="G17" s="377" t="n">
        <v>5</v>
      </c>
      <c r="H17" s="381" t="n">
        <f aca="false">IF($G17&lt;&gt;"",$G17,Projects!$C$8)</f>
        <v>5</v>
      </c>
      <c r="I17" s="382"/>
      <c r="J17" s="379" t="n">
        <v>192026.25</v>
      </c>
      <c r="K17" s="377" t="n">
        <v>5</v>
      </c>
      <c r="L17" s="379" t="n">
        <v>95034</v>
      </c>
      <c r="M17" s="377" t="n">
        <v>5</v>
      </c>
      <c r="N17" s="382"/>
      <c r="O17" s="379" t="n">
        <v>327263.72</v>
      </c>
      <c r="P17" s="377" t="n">
        <v>6</v>
      </c>
      <c r="Q17" s="379"/>
      <c r="R17" s="377"/>
      <c r="S17" s="381" t="n">
        <f aca="false">IF(AND($C17="Yes",$D17="Yes"),1,0)</f>
        <v>1</v>
      </c>
      <c r="T17" s="380" t="n">
        <f aca="false">$S17*IF($J17&lt;&gt;"",$J17,$F17*IF($I17&lt;&gt;"",$I17,$C$4)/(1+IF($I17&lt;&gt;"",$I17,$C$4)))</f>
        <v>192026.25</v>
      </c>
      <c r="U17" s="380" t="n">
        <f aca="false">$S17*IF($L17&lt;&gt;"",$L17,$F17*$C$5)</f>
        <v>95034</v>
      </c>
      <c r="V17" s="380" t="n">
        <f aca="false">$S17*$F17*IF($N17&lt;&gt;"",$N17,$C$6)</f>
        <v>422297.721625</v>
      </c>
      <c r="W17" s="380" t="n">
        <f aca="false">MAX(0,$V17-$U17)</f>
        <v>327263.721625</v>
      </c>
      <c r="X17" s="381" t="n">
        <f aca="false">IF($B17&lt;&gt;"",$B17,100+$H17)</f>
        <v>5</v>
      </c>
      <c r="Y17" s="380" t="n">
        <f aca="false">$S17*MAX(0,MIN($W17,$C$7-SUMIFS($W$11:$W$54,$X$11:$X$54,"&lt;"&amp;$X17)))</f>
        <v>0</v>
      </c>
      <c r="Z17" s="380" t="n">
        <f aca="false">$W17-$Y17</f>
        <v>327263.721625</v>
      </c>
      <c r="AA17" s="383" t="n">
        <f aca="false">$S17*($T17-$U17-$Z17)</f>
        <v>-230271.471625</v>
      </c>
      <c r="AB17" s="383" t="n">
        <f aca="false">$S17*($T17-$U17)</f>
        <v>96992.25</v>
      </c>
      <c r="AC17" s="380" t="n">
        <f aca="false">IF(AND($S17=1,$H17&lt;=$C$8),$Z17-N($O17),0)</f>
        <v>0.00162500009173527</v>
      </c>
      <c r="AD17" s="384" t="s">
        <v>1310</v>
      </c>
    </row>
    <row r="18" customFormat="false" ht="15" hidden="false" customHeight="true" outlineLevel="0" collapsed="false">
      <c r="A18" s="385" t="str">
        <f aca="false">Projects!$A$9</f>
        <v>Riverton</v>
      </c>
      <c r="B18" s="377" t="n">
        <v>3</v>
      </c>
      <c r="C18" s="386" t="str">
        <f aca="false">Projects!$F$9</f>
        <v>Yes</v>
      </c>
      <c r="D18" s="386" t="str">
        <f aca="false">Projects!$G$9</f>
        <v>Yes</v>
      </c>
      <c r="E18" s="379"/>
      <c r="F18" s="387" t="n">
        <f aca="false">IF($E18&lt;&gt;"",$E18,Projects!$B$9)</f>
        <v>14337010.8</v>
      </c>
      <c r="G18" s="377" t="n">
        <v>4</v>
      </c>
      <c r="H18" s="388" t="n">
        <f aca="false">IF($G18&lt;&gt;"",$G18,Projects!$C$9)</f>
        <v>4</v>
      </c>
      <c r="I18" s="382"/>
      <c r="J18" s="379" t="n">
        <v>211877</v>
      </c>
      <c r="K18" s="377" t="n">
        <v>4</v>
      </c>
      <c r="L18" s="379" t="n">
        <v>103966</v>
      </c>
      <c r="M18" s="377" t="n">
        <v>4</v>
      </c>
      <c r="N18" s="382"/>
      <c r="O18" s="379"/>
      <c r="P18" s="377"/>
      <c r="Q18" s="379"/>
      <c r="R18" s="377"/>
      <c r="S18" s="388" t="n">
        <f aca="false">IF(AND($C18="Yes",$D18="Yes"),1,0)</f>
        <v>1</v>
      </c>
      <c r="T18" s="387" t="n">
        <f aca="false">$S18*IF($J18&lt;&gt;"",$J18,$F18*IF($I18&lt;&gt;"",$I18,$C$4)/(1+IF($I18&lt;&gt;"",$I18,$C$4)))</f>
        <v>211877</v>
      </c>
      <c r="U18" s="387" t="n">
        <f aca="false">$S18*IF($L18&lt;&gt;"",$L18,$F18*$C$5)</f>
        <v>103966</v>
      </c>
      <c r="V18" s="387" t="n">
        <f aca="false">$S18*$F18*IF($N18&lt;&gt;"",$N18,$C$6)</f>
        <v>465952.851</v>
      </c>
      <c r="W18" s="387" t="n">
        <f aca="false">MAX(0,$V18-$U18)</f>
        <v>361986.851</v>
      </c>
      <c r="X18" s="388" t="n">
        <f aca="false">IF($B18&lt;&gt;"",$B18,100+$H18)</f>
        <v>3</v>
      </c>
      <c r="Y18" s="387" t="n">
        <f aca="false">$S18*MAX(0,MIN($W18,$C$7-SUMIFS($W$11:$W$54,$X$11:$X$54,"&lt;"&amp;$X18)))</f>
        <v>361986.851</v>
      </c>
      <c r="Z18" s="387" t="n">
        <f aca="false">$W18-$Y18</f>
        <v>0</v>
      </c>
      <c r="AA18" s="389" t="n">
        <f aca="false">$S18*($T18-$U18-$Z18)</f>
        <v>107911</v>
      </c>
      <c r="AB18" s="389" t="n">
        <f aca="false">$S18*($T18-$U18)</f>
        <v>107911</v>
      </c>
      <c r="AC18" s="387" t="n">
        <f aca="false">IF(AND($S18=1,$H18&lt;=$C$8),$Z18-N($O18),0)</f>
        <v>0</v>
      </c>
      <c r="AD18" s="390" t="s">
        <v>1311</v>
      </c>
    </row>
    <row r="19" customFormat="false" ht="15" hidden="false" customHeight="true" outlineLevel="0" collapsed="false">
      <c r="A19" s="376" t="str">
        <f aca="false">Projects!$A$10</f>
        <v>Acama</v>
      </c>
      <c r="B19" s="377"/>
      <c r="C19" s="378" t="str">
        <f aca="false">Projects!$F$10</f>
        <v>Yes</v>
      </c>
      <c r="D19" s="378" t="str">
        <f aca="false">Projects!$G$10</f>
        <v>Yes</v>
      </c>
      <c r="E19" s="379" t="n">
        <v>22072845.45</v>
      </c>
      <c r="F19" s="380" t="n">
        <f aca="false">IF($E19&lt;&gt;"",$E19,Projects!$B$10)</f>
        <v>22072845.45</v>
      </c>
      <c r="G19" s="377" t="n">
        <v>7</v>
      </c>
      <c r="H19" s="381" t="n">
        <f aca="false">IF($G19&lt;&gt;"",$G19,Projects!$C$10)</f>
        <v>7</v>
      </c>
      <c r="I19" s="382"/>
      <c r="J19" s="379" t="n">
        <v>326199.69</v>
      </c>
      <c r="K19" s="377"/>
      <c r="L19" s="379" t="n">
        <v>155409</v>
      </c>
      <c r="M19" s="377"/>
      <c r="N19" s="382"/>
      <c r="O19" s="379"/>
      <c r="P19" s="377"/>
      <c r="Q19" s="379"/>
      <c r="R19" s="377"/>
      <c r="S19" s="381" t="n">
        <f aca="false">IF(AND($C19="Yes",$D19="Yes"),1,0)</f>
        <v>1</v>
      </c>
      <c r="T19" s="380" t="n">
        <f aca="false">$S19*IF($J19&lt;&gt;"",$J19,$F19*IF($I19&lt;&gt;"",$I19,$C$4)/(1+IF($I19&lt;&gt;"",$I19,$C$4)))</f>
        <v>326199.69</v>
      </c>
      <c r="U19" s="380" t="n">
        <f aca="false">$S19*IF($L19&lt;&gt;"",$L19,$F19*$C$5)</f>
        <v>155409</v>
      </c>
      <c r="V19" s="380" t="n">
        <f aca="false">$S19*$F19*IF($N19&lt;&gt;"",$N19,$C$6)</f>
        <v>717367.477125</v>
      </c>
      <c r="W19" s="380" t="n">
        <f aca="false">MAX(0,$V19-$U19)</f>
        <v>561958.477125</v>
      </c>
      <c r="X19" s="381" t="n">
        <f aca="false">IF($B19&lt;&gt;"",$B19,100+$H19)</f>
        <v>107</v>
      </c>
      <c r="Y19" s="380" t="n">
        <f aca="false">$S19*MAX(0,MIN($W19,$C$7-SUMIFS($W$11:$W$54,$X$11:$X$54,"&lt;"&amp;$X19)))</f>
        <v>0</v>
      </c>
      <c r="Z19" s="380" t="n">
        <f aca="false">$W19-$Y19</f>
        <v>561958.477125</v>
      </c>
      <c r="AA19" s="383" t="n">
        <f aca="false">$S19*($T19-$U19-$Z19)</f>
        <v>-391167.787125</v>
      </c>
      <c r="AB19" s="383" t="n">
        <f aca="false">$S19*($T19-$U19)</f>
        <v>170790.69</v>
      </c>
      <c r="AC19" s="380" t="n">
        <f aca="false">IF(AND($S19=1,$H19&lt;=$C$8),$Z19-N($O19),0)</f>
        <v>0</v>
      </c>
      <c r="AD19" s="384" t="s">
        <v>1312</v>
      </c>
    </row>
    <row r="20" customFormat="false" ht="15" hidden="false" customHeight="true" outlineLevel="0" collapsed="false">
      <c r="A20" s="385" t="str">
        <f aca="false">Projects!$A$11</f>
        <v>Klump</v>
      </c>
      <c r="B20" s="377"/>
      <c r="C20" s="386" t="str">
        <f aca="false">Projects!$F$11</f>
        <v>No</v>
      </c>
      <c r="D20" s="386" t="str">
        <f aca="false">Projects!$G$11</f>
        <v>Yes</v>
      </c>
      <c r="E20" s="379"/>
      <c r="F20" s="387" t="n">
        <f aca="false">IF($E20&lt;&gt;"",$E20,Projects!$B$11)</f>
        <v>9577109</v>
      </c>
      <c r="G20" s="377"/>
      <c r="H20" s="388" t="n">
        <f aca="false">IF($G20&lt;&gt;"",$G20,Projects!$C$11)</f>
        <v>11</v>
      </c>
      <c r="I20" s="382"/>
      <c r="J20" s="379"/>
      <c r="K20" s="377"/>
      <c r="L20" s="379"/>
      <c r="M20" s="377"/>
      <c r="N20" s="382"/>
      <c r="O20" s="379"/>
      <c r="P20" s="377"/>
      <c r="Q20" s="379"/>
      <c r="R20" s="377"/>
      <c r="S20" s="388" t="n">
        <f aca="false">IF(AND($C20="Yes",$D20="Yes"),1,0)</f>
        <v>0</v>
      </c>
      <c r="T20" s="387" t="n">
        <f aca="false">$S20*IF($J20&lt;&gt;"",$J20,$F20*IF($I20&lt;&gt;"",$I20,$C$4)/(1+IF($I20&lt;&gt;"",$I20,$C$4)))</f>
        <v>0</v>
      </c>
      <c r="U20" s="387" t="n">
        <f aca="false">$S20*IF($L20&lt;&gt;"",$L20,$F20*$C$5)</f>
        <v>0</v>
      </c>
      <c r="V20" s="387" t="n">
        <f aca="false">$S20*$F20*IF($N20&lt;&gt;"",$N20,$C$6)</f>
        <v>0</v>
      </c>
      <c r="W20" s="387" t="n">
        <f aca="false">MAX(0,$V20-$U20)</f>
        <v>0</v>
      </c>
      <c r="X20" s="388" t="n">
        <f aca="false">IF($B20&lt;&gt;"",$B20,100+$H20)</f>
        <v>111</v>
      </c>
      <c r="Y20" s="387" t="n">
        <f aca="false">$S20*MAX(0,MIN($W20,$C$7-SUMIFS($W$11:$W$54,$X$11:$X$54,"&lt;"&amp;$X20)))</f>
        <v>0</v>
      </c>
      <c r="Z20" s="387" t="n">
        <f aca="false">$W20-$Y20</f>
        <v>0</v>
      </c>
      <c r="AA20" s="389" t="n">
        <f aca="false">$S20*($T20-$U20-$Z20)</f>
        <v>0</v>
      </c>
      <c r="AB20" s="389" t="n">
        <f aca="false">$S20*($T20-$U20)</f>
        <v>0</v>
      </c>
      <c r="AC20" s="387" t="n">
        <f aca="false">IF(AND($S20=1,$H20&lt;=$C$8),$Z20-N($O20),0)</f>
        <v>0</v>
      </c>
      <c r="AD20" s="390"/>
    </row>
    <row r="21" customFormat="false" ht="15" hidden="false" customHeight="true" outlineLevel="0" collapsed="false">
      <c r="A21" s="376" t="str">
        <f aca="false">Projects!$A$12</f>
        <v>Scott</v>
      </c>
      <c r="B21" s="377"/>
      <c r="C21" s="378" t="str">
        <f aca="false">Projects!$F$12</f>
        <v>No</v>
      </c>
      <c r="D21" s="378" t="str">
        <f aca="false">Projects!$G$12</f>
        <v>Yes</v>
      </c>
      <c r="E21" s="379"/>
      <c r="F21" s="380" t="n">
        <f aca="false">IF($E21&lt;&gt;"",$E21,Projects!$B$12)</f>
        <v>7545203</v>
      </c>
      <c r="G21" s="377"/>
      <c r="H21" s="381" t="n">
        <f aca="false">IF($G21&lt;&gt;"",$G21,Projects!$C$12)</f>
        <v>10</v>
      </c>
      <c r="I21" s="382"/>
      <c r="J21" s="379"/>
      <c r="K21" s="377"/>
      <c r="L21" s="379"/>
      <c r="M21" s="377"/>
      <c r="N21" s="382"/>
      <c r="O21" s="379"/>
      <c r="P21" s="377"/>
      <c r="Q21" s="379"/>
      <c r="R21" s="377"/>
      <c r="S21" s="381" t="n">
        <f aca="false">IF(AND($C21="Yes",$D21="Yes"),1,0)</f>
        <v>0</v>
      </c>
      <c r="T21" s="380" t="n">
        <f aca="false">$S21*IF($J21&lt;&gt;"",$J21,$F21*IF($I21&lt;&gt;"",$I21,$C$4)/(1+IF($I21&lt;&gt;"",$I21,$C$4)))</f>
        <v>0</v>
      </c>
      <c r="U21" s="380" t="n">
        <f aca="false">$S21*IF($L21&lt;&gt;"",$L21,$F21*$C$5)</f>
        <v>0</v>
      </c>
      <c r="V21" s="380" t="n">
        <f aca="false">$S21*$F21*IF($N21&lt;&gt;"",$N21,$C$6)</f>
        <v>0</v>
      </c>
      <c r="W21" s="380" t="n">
        <f aca="false">MAX(0,$V21-$U21)</f>
        <v>0</v>
      </c>
      <c r="X21" s="381" t="n">
        <f aca="false">IF($B21&lt;&gt;"",$B21,100+$H21)</f>
        <v>110</v>
      </c>
      <c r="Y21" s="380" t="n">
        <f aca="false">$S21*MAX(0,MIN($W21,$C$7-SUMIFS($W$11:$W$54,$X$11:$X$54,"&lt;"&amp;$X21)))</f>
        <v>0</v>
      </c>
      <c r="Z21" s="380" t="n">
        <f aca="false">$W21-$Y21</f>
        <v>0</v>
      </c>
      <c r="AA21" s="383" t="n">
        <f aca="false">$S21*($T21-$U21-$Z21)</f>
        <v>0</v>
      </c>
      <c r="AB21" s="383" t="n">
        <f aca="false">$S21*($T21-$U21)</f>
        <v>0</v>
      </c>
      <c r="AC21" s="380" t="n">
        <f aca="false">IF(AND($S21=1,$H21&lt;=$C$8),$Z21-N($O21),0)</f>
        <v>0</v>
      </c>
      <c r="AD21" s="384"/>
    </row>
    <row r="22" customFormat="false" ht="15" hidden="false" customHeight="true" outlineLevel="0" collapsed="false">
      <c r="A22" s="385" t="str">
        <f aca="false">Projects!$A$13</f>
        <v>Reseda</v>
      </c>
      <c r="B22" s="377"/>
      <c r="C22" s="386" t="str">
        <f aca="false">Projects!$F$13</f>
        <v>Yes</v>
      </c>
      <c r="D22" s="386" t="str">
        <f aca="false">Projects!$G$13</f>
        <v>Yes</v>
      </c>
      <c r="E22" s="379"/>
      <c r="F22" s="387" t="n">
        <f aca="false">IF($E22&lt;&gt;"",$E22,Projects!$B$13)</f>
        <v>45266770</v>
      </c>
      <c r="G22" s="377"/>
      <c r="H22" s="388" t="n">
        <f aca="false">IF($G22&lt;&gt;"",$G22,Projects!$C$13)</f>
        <v>15</v>
      </c>
      <c r="I22" s="382" t="n">
        <v>0.02</v>
      </c>
      <c r="J22" s="379"/>
      <c r="K22" s="377"/>
      <c r="L22" s="379"/>
      <c r="M22" s="377"/>
      <c r="N22" s="382"/>
      <c r="O22" s="379"/>
      <c r="P22" s="377"/>
      <c r="Q22" s="379"/>
      <c r="R22" s="377"/>
      <c r="S22" s="388" t="n">
        <f aca="false">IF(AND($C22="Yes",$D22="Yes"),1,0)</f>
        <v>1</v>
      </c>
      <c r="T22" s="387" t="n">
        <f aca="false">$S22*IF($J22&lt;&gt;"",$J22,$F22*IF($I22&lt;&gt;"",$I22,$C$4)/(1+IF($I22&lt;&gt;"",$I22,$C$4)))</f>
        <v>887583.725490196</v>
      </c>
      <c r="U22" s="387" t="n">
        <f aca="false">$S22*IF($L22&lt;&gt;"",$L22,$F22*$C$5)</f>
        <v>331072.523000733</v>
      </c>
      <c r="V22" s="387" t="n">
        <f aca="false">$S22*$F22*IF($N22&lt;&gt;"",$N22,$C$6)</f>
        <v>1471170.025</v>
      </c>
      <c r="W22" s="387" t="n">
        <f aca="false">MAX(0,$V22-$U22)</f>
        <v>1140097.50199927</v>
      </c>
      <c r="X22" s="388" t="n">
        <f aca="false">IF($B22&lt;&gt;"",$B22,100+$H22)</f>
        <v>115</v>
      </c>
      <c r="Y22" s="387" t="n">
        <f aca="false">$S22*MAX(0,MIN($W22,$C$7-SUMIFS($W$11:$W$54,$X$11:$X$54,"&lt;"&amp;$X22)))</f>
        <v>0</v>
      </c>
      <c r="Z22" s="387" t="n">
        <f aca="false">$W22-$Y22</f>
        <v>1140097.50199927</v>
      </c>
      <c r="AA22" s="389" t="n">
        <f aca="false">$S22*($T22-$U22-$Z22)</f>
        <v>-583586.299509804</v>
      </c>
      <c r="AB22" s="389" t="n">
        <f aca="false">$S22*($T22-$U22)</f>
        <v>556511.202489463</v>
      </c>
      <c r="AC22" s="387" t="n">
        <f aca="false">IF(AND($S22=1,$H22&lt;=$C$8),$Z22-N($O22),0)</f>
        <v>0</v>
      </c>
      <c r="AD22" s="390"/>
    </row>
    <row r="23" customFormat="false" ht="15" hidden="false" customHeight="true" outlineLevel="0" collapsed="false">
      <c r="A23" s="376" t="str">
        <f aca="false">Projects!$A$14</f>
        <v>3rd St</v>
      </c>
      <c r="B23" s="377"/>
      <c r="C23" s="378" t="str">
        <f aca="false">Projects!$F$14</f>
        <v>Yes</v>
      </c>
      <c r="D23" s="378" t="str">
        <f aca="false">Projects!$G$14</f>
        <v>No</v>
      </c>
      <c r="E23" s="379"/>
      <c r="F23" s="380" t="n">
        <f aca="false">IF($E23&lt;&gt;"",$E23,Projects!$B$14)</f>
        <v>41354632</v>
      </c>
      <c r="G23" s="377"/>
      <c r="H23" s="381" t="n">
        <f aca="false">IF($G23&lt;&gt;"",$G23,Projects!$C$14)</f>
        <v>27</v>
      </c>
      <c r="I23" s="382"/>
      <c r="J23" s="379"/>
      <c r="K23" s="377"/>
      <c r="L23" s="379"/>
      <c r="M23" s="377"/>
      <c r="N23" s="382"/>
      <c r="O23" s="379"/>
      <c r="P23" s="377"/>
      <c r="Q23" s="379"/>
      <c r="R23" s="377"/>
      <c r="S23" s="381" t="n">
        <f aca="false">IF(AND($C23="Yes",$D23="Yes"),1,0)</f>
        <v>0</v>
      </c>
      <c r="T23" s="380" t="n">
        <f aca="false">$S23*IF($J23&lt;&gt;"",$J23,$F23*IF($I23&lt;&gt;"",$I23,$C$4)/(1+IF($I23&lt;&gt;"",$I23,$C$4)))</f>
        <v>0</v>
      </c>
      <c r="U23" s="380" t="n">
        <f aca="false">$S23*IF($L23&lt;&gt;"",$L23,$F23*$C$5)</f>
        <v>0</v>
      </c>
      <c r="V23" s="380" t="n">
        <f aca="false">$S23*$F23*IF($N23&lt;&gt;"",$N23,$C$6)</f>
        <v>0</v>
      </c>
      <c r="W23" s="380" t="n">
        <f aca="false">MAX(0,$V23-$U23)</f>
        <v>0</v>
      </c>
      <c r="X23" s="381" t="n">
        <f aca="false">IF($B23&lt;&gt;"",$B23,100+$H23)</f>
        <v>127</v>
      </c>
      <c r="Y23" s="380" t="n">
        <f aca="false">$S23*MAX(0,MIN($W23,$C$7-SUMIFS($W$11:$W$54,$X$11:$X$54,"&lt;"&amp;$X23)))</f>
        <v>0</v>
      </c>
      <c r="Z23" s="380" t="n">
        <f aca="false">$W23-$Y23</f>
        <v>0</v>
      </c>
      <c r="AA23" s="383" t="n">
        <f aca="false">$S23*($T23-$U23-$Z23)</f>
        <v>0</v>
      </c>
      <c r="AB23" s="383" t="n">
        <f aca="false">$S23*($T23-$U23)</f>
        <v>0</v>
      </c>
      <c r="AC23" s="380" t="n">
        <f aca="false">IF(AND($S23=1,$H23&lt;=$C$8),$Z23-N($O23),0)</f>
        <v>0</v>
      </c>
      <c r="AD23" s="384"/>
    </row>
    <row r="24" customFormat="false" ht="15" hidden="false" customHeight="true" outlineLevel="0" collapsed="false">
      <c r="A24" s="385" t="str">
        <f aca="false">Projects!$A$17</f>
        <v>Lemp</v>
      </c>
      <c r="B24" s="377"/>
      <c r="C24" s="386" t="str">
        <f aca="false">Projects!$F$17</f>
        <v>Yes</v>
      </c>
      <c r="D24" s="386" t="str">
        <f aca="false">Projects!$G$17</f>
        <v>No</v>
      </c>
      <c r="E24" s="379"/>
      <c r="F24" s="387" t="n">
        <f aca="false">IF($E24&lt;&gt;"",$E24,Projects!$B$17)</f>
        <v>14219545</v>
      </c>
      <c r="G24" s="377"/>
      <c r="H24" s="388" t="n">
        <f aca="false">IF($G24&lt;&gt;"",$G24,Projects!$C$17)</f>
        <v>18</v>
      </c>
      <c r="I24" s="382"/>
      <c r="J24" s="379"/>
      <c r="K24" s="377"/>
      <c r="L24" s="379"/>
      <c r="M24" s="377"/>
      <c r="N24" s="382"/>
      <c r="O24" s="379"/>
      <c r="P24" s="377"/>
      <c r="Q24" s="379"/>
      <c r="R24" s="377"/>
      <c r="S24" s="388" t="n">
        <f aca="false">IF(AND($C24="Yes",$D24="Yes"),1,0)</f>
        <v>0</v>
      </c>
      <c r="T24" s="387" t="n">
        <f aca="false">$S24*IF($J24&lt;&gt;"",$J24,$F24*IF($I24&lt;&gt;"",$I24,$C$4)/(1+IF($I24&lt;&gt;"",$I24,$C$4)))</f>
        <v>0</v>
      </c>
      <c r="U24" s="387" t="n">
        <f aca="false">$S24*IF($L24&lt;&gt;"",$L24,$F24*$C$5)</f>
        <v>0</v>
      </c>
      <c r="V24" s="387" t="n">
        <f aca="false">$S24*$F24*IF($N24&lt;&gt;"",$N24,$C$6)</f>
        <v>0</v>
      </c>
      <c r="W24" s="387" t="n">
        <f aca="false">MAX(0,$V24-$U24)</f>
        <v>0</v>
      </c>
      <c r="X24" s="388" t="n">
        <f aca="false">IF($B24&lt;&gt;"",$B24,100+$H24)</f>
        <v>118</v>
      </c>
      <c r="Y24" s="387" t="n">
        <f aca="false">$S24*MAX(0,MIN($W24,$C$7-SUMIFS($W$11:$W$54,$X$11:$X$54,"&lt;"&amp;$X24)))</f>
        <v>0</v>
      </c>
      <c r="Z24" s="387" t="n">
        <f aca="false">$W24-$Y24</f>
        <v>0</v>
      </c>
      <c r="AA24" s="389" t="n">
        <f aca="false">$S24*($T24-$U24-$Z24)</f>
        <v>0</v>
      </c>
      <c r="AB24" s="389" t="n">
        <f aca="false">$S24*($T24-$U24)</f>
        <v>0</v>
      </c>
      <c r="AC24" s="387" t="n">
        <f aca="false">IF(AND($S24=1,$H24&lt;=$C$8),$Z24-N($O24),0)</f>
        <v>0</v>
      </c>
      <c r="AD24" s="390"/>
    </row>
    <row r="25" customFormat="false" ht="15" hidden="false" customHeight="true" outlineLevel="0" collapsed="false">
      <c r="A25" s="376" t="str">
        <f aca="false">Projects!$A$18</f>
        <v>Riverton 75</v>
      </c>
      <c r="B25" s="377"/>
      <c r="C25" s="378" t="str">
        <f aca="false">Projects!$F$18</f>
        <v>Yes</v>
      </c>
      <c r="D25" s="378" t="str">
        <f aca="false">Projects!$G$18</f>
        <v>No</v>
      </c>
      <c r="E25" s="379"/>
      <c r="F25" s="380" t="n">
        <f aca="false">IF($E25&lt;&gt;"",$E25,Projects!$B$18)</f>
        <v>11537565</v>
      </c>
      <c r="G25" s="377"/>
      <c r="H25" s="381" t="n">
        <f aca="false">IF($G25&lt;&gt;"",$G25,Projects!$C$18)</f>
        <v>14</v>
      </c>
      <c r="I25" s="382"/>
      <c r="J25" s="379"/>
      <c r="K25" s="377"/>
      <c r="L25" s="379"/>
      <c r="M25" s="377"/>
      <c r="N25" s="382"/>
      <c r="O25" s="379"/>
      <c r="P25" s="377"/>
      <c r="Q25" s="379"/>
      <c r="R25" s="377"/>
      <c r="S25" s="381" t="n">
        <f aca="false">IF(AND($C25="Yes",$D25="Yes"),1,0)</f>
        <v>0</v>
      </c>
      <c r="T25" s="380" t="n">
        <f aca="false">$S25*IF($J25&lt;&gt;"",$J25,$F25*IF($I25&lt;&gt;"",$I25,$C$4)/(1+IF($I25&lt;&gt;"",$I25,$C$4)))</f>
        <v>0</v>
      </c>
      <c r="U25" s="380" t="n">
        <f aca="false">$S25*IF($L25&lt;&gt;"",$L25,$F25*$C$5)</f>
        <v>0</v>
      </c>
      <c r="V25" s="380" t="n">
        <f aca="false">$S25*$F25*IF($N25&lt;&gt;"",$N25,$C$6)</f>
        <v>0</v>
      </c>
      <c r="W25" s="380" t="n">
        <f aca="false">MAX(0,$V25-$U25)</f>
        <v>0</v>
      </c>
      <c r="X25" s="381" t="n">
        <f aca="false">IF($B25&lt;&gt;"",$B25,100+$H25)</f>
        <v>114</v>
      </c>
      <c r="Y25" s="380" t="n">
        <f aca="false">$S25*MAX(0,MIN($W25,$C$7-SUMIFS($W$11:$W$54,$X$11:$X$54,"&lt;"&amp;$X25)))</f>
        <v>0</v>
      </c>
      <c r="Z25" s="380" t="n">
        <f aca="false">$W25-$Y25</f>
        <v>0</v>
      </c>
      <c r="AA25" s="383" t="n">
        <f aca="false">$S25*($T25-$U25-$Z25)</f>
        <v>0</v>
      </c>
      <c r="AB25" s="383" t="n">
        <f aca="false">$S25*($T25-$U25)</f>
        <v>0</v>
      </c>
      <c r="AC25" s="380" t="n">
        <f aca="false">IF(AND($S25=1,$H25&lt;=$C$8),$Z25-N($O25),0)</f>
        <v>0</v>
      </c>
      <c r="AD25" s="384"/>
    </row>
    <row r="26" customFormat="false" ht="15" hidden="false" customHeight="true" outlineLevel="0" collapsed="false">
      <c r="A26" s="385" t="str">
        <f aca="false">Projects!$A$19</f>
        <v>Moorpark</v>
      </c>
      <c r="B26" s="377"/>
      <c r="C26" s="386" t="str">
        <f aca="false">Projects!$F$19</f>
        <v>Yes</v>
      </c>
      <c r="D26" s="386" t="str">
        <f aca="false">Projects!$G$19</f>
        <v>No</v>
      </c>
      <c r="E26" s="379"/>
      <c r="F26" s="387" t="n">
        <f aca="false">IF($E26&lt;&gt;"",$E26,Projects!$B$19)</f>
        <v>18764585</v>
      </c>
      <c r="G26" s="377"/>
      <c r="H26" s="388" t="n">
        <f aca="false">IF($G26&lt;&gt;"",$G26,Projects!$C$19)</f>
        <v>13</v>
      </c>
      <c r="I26" s="382"/>
      <c r="J26" s="379"/>
      <c r="K26" s="377"/>
      <c r="L26" s="379"/>
      <c r="M26" s="377"/>
      <c r="N26" s="382"/>
      <c r="O26" s="379"/>
      <c r="P26" s="377"/>
      <c r="Q26" s="379"/>
      <c r="R26" s="377"/>
      <c r="S26" s="388" t="n">
        <f aca="false">IF(AND($C26="Yes",$D26="Yes"),1,0)</f>
        <v>0</v>
      </c>
      <c r="T26" s="387" t="n">
        <f aca="false">$S26*IF($J26&lt;&gt;"",$J26,$F26*IF($I26&lt;&gt;"",$I26,$C$4)/(1+IF($I26&lt;&gt;"",$I26,$C$4)))</f>
        <v>0</v>
      </c>
      <c r="U26" s="387" t="n">
        <f aca="false">$S26*IF($L26&lt;&gt;"",$L26,$F26*$C$5)</f>
        <v>0</v>
      </c>
      <c r="V26" s="387" t="n">
        <f aca="false">$S26*$F26*IF($N26&lt;&gt;"",$N26,$C$6)</f>
        <v>0</v>
      </c>
      <c r="W26" s="387" t="n">
        <f aca="false">MAX(0,$V26-$U26)</f>
        <v>0</v>
      </c>
      <c r="X26" s="388" t="n">
        <f aca="false">IF($B26&lt;&gt;"",$B26,100+$H26)</f>
        <v>113</v>
      </c>
      <c r="Y26" s="387" t="n">
        <f aca="false">$S26*MAX(0,MIN($W26,$C$7-SUMIFS($W$11:$W$54,$X$11:$X$54,"&lt;"&amp;$X26)))</f>
        <v>0</v>
      </c>
      <c r="Z26" s="387" t="n">
        <f aca="false">$W26-$Y26</f>
        <v>0</v>
      </c>
      <c r="AA26" s="389" t="n">
        <f aca="false">$S26*($T26-$U26-$Z26)</f>
        <v>0</v>
      </c>
      <c r="AB26" s="389" t="n">
        <f aca="false">$S26*($T26-$U26)</f>
        <v>0</v>
      </c>
      <c r="AC26" s="387" t="n">
        <f aca="false">IF(AND($S26=1,$H26&lt;=$C$8),$Z26-N($O26),0)</f>
        <v>0</v>
      </c>
      <c r="AD26" s="390"/>
    </row>
    <row r="27" customFormat="false" ht="15" hidden="false" customHeight="true" outlineLevel="0" collapsed="false">
      <c r="A27" s="376" t="str">
        <f aca="false">Projects!$A$20</f>
        <v>Beverly (BD-04)</v>
      </c>
      <c r="B27" s="377"/>
      <c r="C27" s="378" t="str">
        <f aca="false">Projects!$F$20</f>
        <v>No</v>
      </c>
      <c r="D27" s="378" t="str">
        <f aca="false">Projects!$G$20</f>
        <v>No</v>
      </c>
      <c r="E27" s="379"/>
      <c r="F27" s="380" t="n">
        <f aca="false">IF($E27&lt;&gt;"",$E27,Projects!$B$20)</f>
        <v>25026330.58</v>
      </c>
      <c r="G27" s="377"/>
      <c r="H27" s="381" t="n">
        <f aca="false">IF($G27&lt;&gt;"",$G27,Projects!$C$20)</f>
        <v>20</v>
      </c>
      <c r="I27" s="382"/>
      <c r="J27" s="379"/>
      <c r="K27" s="377"/>
      <c r="L27" s="379"/>
      <c r="M27" s="377"/>
      <c r="N27" s="382"/>
      <c r="O27" s="379"/>
      <c r="P27" s="377"/>
      <c r="Q27" s="379"/>
      <c r="R27" s="377"/>
      <c r="S27" s="381" t="n">
        <f aca="false">IF(AND($C27="Yes",$D27="Yes"),1,0)</f>
        <v>0</v>
      </c>
      <c r="T27" s="380" t="n">
        <f aca="false">$S27*IF($J27&lt;&gt;"",$J27,$F27*IF($I27&lt;&gt;"",$I27,$C$4)/(1+IF($I27&lt;&gt;"",$I27,$C$4)))</f>
        <v>0</v>
      </c>
      <c r="U27" s="380" t="n">
        <f aca="false">$S27*IF($L27&lt;&gt;"",$L27,$F27*$C$5)</f>
        <v>0</v>
      </c>
      <c r="V27" s="380" t="n">
        <f aca="false">$S27*$F27*IF($N27&lt;&gt;"",$N27,$C$6)</f>
        <v>0</v>
      </c>
      <c r="W27" s="380" t="n">
        <f aca="false">MAX(0,$V27-$U27)</f>
        <v>0</v>
      </c>
      <c r="X27" s="381" t="n">
        <f aca="false">IF($B27&lt;&gt;"",$B27,100+$H27)</f>
        <v>120</v>
      </c>
      <c r="Y27" s="380" t="n">
        <f aca="false">$S27*MAX(0,MIN($W27,$C$7-SUMIFS($W$11:$W$54,$X$11:$X$54,"&lt;"&amp;$X27)))</f>
        <v>0</v>
      </c>
      <c r="Z27" s="380" t="n">
        <f aca="false">$W27-$Y27</f>
        <v>0</v>
      </c>
      <c r="AA27" s="383" t="n">
        <f aca="false">$S27*($T27-$U27-$Z27)</f>
        <v>0</v>
      </c>
      <c r="AB27" s="383" t="n">
        <f aca="false">$S27*($T27-$U27)</f>
        <v>0</v>
      </c>
      <c r="AC27" s="380" t="n">
        <f aca="false">IF(AND($S27=1,$H27&lt;=$C$8),$Z27-N($O27),0)</f>
        <v>0</v>
      </c>
      <c r="AD27" s="384"/>
    </row>
    <row r="28" customFormat="false" ht="15" hidden="false" customHeight="true" outlineLevel="0" collapsed="false">
      <c r="A28" s="385" t="str">
        <f aca="false">Projects!$A$21</f>
        <v>Troost (HVN)</v>
      </c>
      <c r="B28" s="377"/>
      <c r="C28" s="386" t="str">
        <f aca="false">Projects!$F$21</f>
        <v>No</v>
      </c>
      <c r="D28" s="386" t="str">
        <f aca="false">Projects!$G$21</f>
        <v>Yes</v>
      </c>
      <c r="E28" s="379"/>
      <c r="F28" s="387" t="n">
        <f aca="false">IF($E28&lt;&gt;"",$E28,Projects!$B$21)</f>
        <v>14935493</v>
      </c>
      <c r="G28" s="377"/>
      <c r="H28" s="388" t="n">
        <f aca="false">IF($G28&lt;&gt;"",$G28,Projects!$C$21)</f>
        <v>9</v>
      </c>
      <c r="I28" s="382"/>
      <c r="J28" s="379"/>
      <c r="K28" s="377"/>
      <c r="L28" s="379"/>
      <c r="M28" s="377"/>
      <c r="N28" s="382"/>
      <c r="O28" s="379"/>
      <c r="P28" s="377"/>
      <c r="Q28" s="379"/>
      <c r="R28" s="377"/>
      <c r="S28" s="388" t="n">
        <f aca="false">IF(AND($C28="Yes",$D28="Yes"),1,0)</f>
        <v>0</v>
      </c>
      <c r="T28" s="387" t="n">
        <f aca="false">$S28*IF($J28&lt;&gt;"",$J28,$F28*IF($I28&lt;&gt;"",$I28,$C$4)/(1+IF($I28&lt;&gt;"",$I28,$C$4)))</f>
        <v>0</v>
      </c>
      <c r="U28" s="387" t="n">
        <f aca="false">$S28*IF($L28&lt;&gt;"",$L28,$F28*$C$5)</f>
        <v>0</v>
      </c>
      <c r="V28" s="387" t="n">
        <f aca="false">$S28*$F28*IF($N28&lt;&gt;"",$N28,$C$6)</f>
        <v>0</v>
      </c>
      <c r="W28" s="387" t="n">
        <f aca="false">MAX(0,$V28-$U28)</f>
        <v>0</v>
      </c>
      <c r="X28" s="388" t="n">
        <f aca="false">IF($B28&lt;&gt;"",$B28,100+$H28)</f>
        <v>109</v>
      </c>
      <c r="Y28" s="387" t="n">
        <f aca="false">$S28*MAX(0,MIN($W28,$C$7-SUMIFS($W$11:$W$54,$X$11:$X$54,"&lt;"&amp;$X28)))</f>
        <v>0</v>
      </c>
      <c r="Z28" s="387" t="n">
        <f aca="false">$W28-$Y28</f>
        <v>0</v>
      </c>
      <c r="AA28" s="389" t="n">
        <f aca="false">$S28*($T28-$U28-$Z28)</f>
        <v>0</v>
      </c>
      <c r="AB28" s="389" t="n">
        <f aca="false">$S28*($T28-$U28)</f>
        <v>0</v>
      </c>
      <c r="AC28" s="387" t="n">
        <f aca="false">IF(AND($S28=1,$H28&lt;=$C$8),$Z28-N($O28),0)</f>
        <v>0</v>
      </c>
      <c r="AD28" s="390"/>
    </row>
    <row r="29" customFormat="false" ht="15" hidden="false" customHeight="true" outlineLevel="0" collapsed="false">
      <c r="A29" s="376" t="str">
        <f aca="false">Projects!$A$22</f>
        <v>Kester</v>
      </c>
      <c r="B29" s="377"/>
      <c r="C29" s="378" t="str">
        <f aca="false">Projects!$F$22</f>
        <v>Yes</v>
      </c>
      <c r="D29" s="378" t="str">
        <f aca="false">Projects!$G$22</f>
        <v>No</v>
      </c>
      <c r="E29" s="379"/>
      <c r="F29" s="380" t="n">
        <f aca="false">IF($E29&lt;&gt;"",$E29,Projects!$B$22)</f>
        <v>13706000</v>
      </c>
      <c r="G29" s="377"/>
      <c r="H29" s="381" t="n">
        <f aca="false">IF($G29&lt;&gt;"",$G29,Projects!$C$22)</f>
        <v>19</v>
      </c>
      <c r="I29" s="382"/>
      <c r="J29" s="379"/>
      <c r="K29" s="377"/>
      <c r="L29" s="379"/>
      <c r="M29" s="377"/>
      <c r="N29" s="382"/>
      <c r="O29" s="379"/>
      <c r="P29" s="377"/>
      <c r="Q29" s="379"/>
      <c r="R29" s="377"/>
      <c r="S29" s="381" t="n">
        <f aca="false">IF(AND($C29="Yes",$D29="Yes"),1,0)</f>
        <v>0</v>
      </c>
      <c r="T29" s="380" t="n">
        <f aca="false">$S29*IF($J29&lt;&gt;"",$J29,$F29*IF($I29&lt;&gt;"",$I29,$C$4)/(1+IF($I29&lt;&gt;"",$I29,$C$4)))</f>
        <v>0</v>
      </c>
      <c r="U29" s="380" t="n">
        <f aca="false">$S29*IF($L29&lt;&gt;"",$L29,$F29*$C$5)</f>
        <v>0</v>
      </c>
      <c r="V29" s="380" t="n">
        <f aca="false">$S29*$F29*IF($N29&lt;&gt;"",$N29,$C$6)</f>
        <v>0</v>
      </c>
      <c r="W29" s="380" t="n">
        <f aca="false">MAX(0,$V29-$U29)</f>
        <v>0</v>
      </c>
      <c r="X29" s="381" t="n">
        <f aca="false">IF($B29&lt;&gt;"",$B29,100+$H29)</f>
        <v>119</v>
      </c>
      <c r="Y29" s="380" t="n">
        <f aca="false">$S29*MAX(0,MIN($W29,$C$7-SUMIFS($W$11:$W$54,$X$11:$X$54,"&lt;"&amp;$X29)))</f>
        <v>0</v>
      </c>
      <c r="Z29" s="380" t="n">
        <f aca="false">$W29-$Y29</f>
        <v>0</v>
      </c>
      <c r="AA29" s="383" t="n">
        <f aca="false">$S29*($T29-$U29-$Z29)</f>
        <v>0</v>
      </c>
      <c r="AB29" s="383" t="n">
        <f aca="false">$S29*($T29-$U29)</f>
        <v>0</v>
      </c>
      <c r="AC29" s="380" t="n">
        <f aca="false">IF(AND($S29=1,$H29&lt;=$C$8),$Z29-N($O29),0)</f>
        <v>0</v>
      </c>
      <c r="AD29" s="384"/>
    </row>
    <row r="30" customFormat="false" ht="15" hidden="false" customHeight="true" outlineLevel="0" collapsed="false">
      <c r="A30" s="385" t="str">
        <f aca="false">Projects!$A$23</f>
        <v>BD-07</v>
      </c>
      <c r="B30" s="377"/>
      <c r="C30" s="386" t="str">
        <f aca="false">Projects!$F$23</f>
        <v>Yes</v>
      </c>
      <c r="D30" s="386" t="str">
        <f aca="false">Projects!$G$23</f>
        <v>No</v>
      </c>
      <c r="E30" s="379"/>
      <c r="F30" s="387" t="n">
        <f aca="false">IF($E30&lt;&gt;"",$E30,Projects!$B$23)</f>
        <v>15000000</v>
      </c>
      <c r="G30" s="377"/>
      <c r="H30" s="388" t="n">
        <f aca="false">IF($G30&lt;&gt;"",$G30,Projects!$C$23)</f>
        <v>34</v>
      </c>
      <c r="I30" s="382"/>
      <c r="J30" s="379"/>
      <c r="K30" s="377"/>
      <c r="L30" s="379"/>
      <c r="M30" s="377"/>
      <c r="N30" s="382"/>
      <c r="O30" s="379"/>
      <c r="P30" s="377"/>
      <c r="Q30" s="379"/>
      <c r="R30" s="377"/>
      <c r="S30" s="388" t="n">
        <f aca="false">IF(AND($C30="Yes",$D30="Yes"),1,0)</f>
        <v>0</v>
      </c>
      <c r="T30" s="387" t="n">
        <f aca="false">$S30*IF($J30&lt;&gt;"",$J30,$F30*IF($I30&lt;&gt;"",$I30,$C$4)/(1+IF($I30&lt;&gt;"",$I30,$C$4)))</f>
        <v>0</v>
      </c>
      <c r="U30" s="387" t="n">
        <f aca="false">$S30*IF($L30&lt;&gt;"",$L30,$F30*$C$5)</f>
        <v>0</v>
      </c>
      <c r="V30" s="387" t="n">
        <f aca="false">$S30*$F30*IF($N30&lt;&gt;"",$N30,$C$6)</f>
        <v>0</v>
      </c>
      <c r="W30" s="387" t="n">
        <f aca="false">MAX(0,$V30-$U30)</f>
        <v>0</v>
      </c>
      <c r="X30" s="388" t="n">
        <f aca="false">IF($B30&lt;&gt;"",$B30,100+$H30)</f>
        <v>134</v>
      </c>
      <c r="Y30" s="387" t="n">
        <f aca="false">$S30*MAX(0,MIN($W30,$C$7-SUMIFS($W$11:$W$54,$X$11:$X$54,"&lt;"&amp;$X30)))</f>
        <v>0</v>
      </c>
      <c r="Z30" s="387" t="n">
        <f aca="false">$W30-$Y30</f>
        <v>0</v>
      </c>
      <c r="AA30" s="389" t="n">
        <f aca="false">$S30*($T30-$U30-$Z30)</f>
        <v>0</v>
      </c>
      <c r="AB30" s="389" t="n">
        <f aca="false">$S30*($T30-$U30)</f>
        <v>0</v>
      </c>
      <c r="AC30" s="387" t="n">
        <f aca="false">IF(AND($S30=1,$H30&lt;=$C$8),$Z30-N($O30),0)</f>
        <v>0</v>
      </c>
      <c r="AD30" s="390"/>
    </row>
    <row r="31" customFormat="false" ht="15" hidden="false" customHeight="true" outlineLevel="0" collapsed="false">
      <c r="A31" s="376" t="str">
        <f aca="false">Projects!$A$24</f>
        <v>BD-08</v>
      </c>
      <c r="B31" s="377"/>
      <c r="C31" s="378" t="str">
        <f aca="false">Projects!$F$24</f>
        <v>No</v>
      </c>
      <c r="D31" s="378" t="str">
        <f aca="false">Projects!$G$24</f>
        <v>No</v>
      </c>
      <c r="E31" s="379"/>
      <c r="F31" s="380" t="n">
        <f aca="false">IF($E31&lt;&gt;"",$E31,Projects!$B$24)</f>
        <v>18000000</v>
      </c>
      <c r="G31" s="377"/>
      <c r="H31" s="381" t="n">
        <f aca="false">IF($G31&lt;&gt;"",$G31,Projects!$C$24)</f>
        <v>37</v>
      </c>
      <c r="I31" s="382"/>
      <c r="J31" s="379"/>
      <c r="K31" s="377"/>
      <c r="L31" s="379"/>
      <c r="M31" s="377"/>
      <c r="N31" s="382"/>
      <c r="O31" s="379"/>
      <c r="P31" s="377"/>
      <c r="Q31" s="379"/>
      <c r="R31" s="377"/>
      <c r="S31" s="381" t="n">
        <f aca="false">IF(AND($C31="Yes",$D31="Yes"),1,0)</f>
        <v>0</v>
      </c>
      <c r="T31" s="380" t="n">
        <f aca="false">$S31*IF($J31&lt;&gt;"",$J31,$F31*IF($I31&lt;&gt;"",$I31,$C$4)/(1+IF($I31&lt;&gt;"",$I31,$C$4)))</f>
        <v>0</v>
      </c>
      <c r="U31" s="380" t="n">
        <f aca="false">$S31*IF($L31&lt;&gt;"",$L31,$F31*$C$5)</f>
        <v>0</v>
      </c>
      <c r="V31" s="380" t="n">
        <f aca="false">$S31*$F31*IF($N31&lt;&gt;"",$N31,$C$6)</f>
        <v>0</v>
      </c>
      <c r="W31" s="380" t="n">
        <f aca="false">MAX(0,$V31-$U31)</f>
        <v>0</v>
      </c>
      <c r="X31" s="381" t="n">
        <f aca="false">IF($B31&lt;&gt;"",$B31,100+$H31)</f>
        <v>137</v>
      </c>
      <c r="Y31" s="380" t="n">
        <f aca="false">$S31*MAX(0,MIN($W31,$C$7-SUMIFS($W$11:$W$54,$X$11:$X$54,"&lt;"&amp;$X31)))</f>
        <v>0</v>
      </c>
      <c r="Z31" s="380" t="n">
        <f aca="false">$W31-$Y31</f>
        <v>0</v>
      </c>
      <c r="AA31" s="383" t="n">
        <f aca="false">$S31*($T31-$U31-$Z31)</f>
        <v>0</v>
      </c>
      <c r="AB31" s="383" t="n">
        <f aca="false">$S31*($T31-$U31)</f>
        <v>0</v>
      </c>
      <c r="AC31" s="380" t="n">
        <f aca="false">IF(AND($S31=1,$H31&lt;=$C$8),$Z31-N($O31),0)</f>
        <v>0</v>
      </c>
      <c r="AD31" s="384"/>
    </row>
    <row r="32" customFormat="false" ht="15" hidden="false" customHeight="true" outlineLevel="0" collapsed="false">
      <c r="A32" s="385" t="str">
        <f aca="false">Projects!$A$25</f>
        <v>BD-09</v>
      </c>
      <c r="B32" s="377"/>
      <c r="C32" s="386" t="str">
        <f aca="false">Projects!$F$25</f>
        <v>No</v>
      </c>
      <c r="D32" s="386" t="str">
        <f aca="false">Projects!$G$25</f>
        <v>No</v>
      </c>
      <c r="E32" s="379"/>
      <c r="F32" s="387" t="n">
        <f aca="false">IF($E32&lt;&gt;"",$E32,Projects!$B$25)</f>
        <v>18000000</v>
      </c>
      <c r="G32" s="377"/>
      <c r="H32" s="388" t="n">
        <f aca="false">IF($G32&lt;&gt;"",$G32,Projects!$C$25)</f>
        <v>40</v>
      </c>
      <c r="I32" s="382"/>
      <c r="J32" s="379"/>
      <c r="K32" s="377"/>
      <c r="L32" s="379"/>
      <c r="M32" s="377"/>
      <c r="N32" s="382"/>
      <c r="O32" s="379"/>
      <c r="P32" s="377"/>
      <c r="Q32" s="379"/>
      <c r="R32" s="377"/>
      <c r="S32" s="388" t="n">
        <f aca="false">IF(AND($C32="Yes",$D32="Yes"),1,0)</f>
        <v>0</v>
      </c>
      <c r="T32" s="387" t="n">
        <f aca="false">$S32*IF($J32&lt;&gt;"",$J32,$F32*IF($I32&lt;&gt;"",$I32,$C$4)/(1+IF($I32&lt;&gt;"",$I32,$C$4)))</f>
        <v>0</v>
      </c>
      <c r="U32" s="387" t="n">
        <f aca="false">$S32*IF($L32&lt;&gt;"",$L32,$F32*$C$5)</f>
        <v>0</v>
      </c>
      <c r="V32" s="387" t="n">
        <f aca="false">$S32*$F32*IF($N32&lt;&gt;"",$N32,$C$6)</f>
        <v>0</v>
      </c>
      <c r="W32" s="387" t="n">
        <f aca="false">MAX(0,$V32-$U32)</f>
        <v>0</v>
      </c>
      <c r="X32" s="388" t="n">
        <f aca="false">IF($B32&lt;&gt;"",$B32,100+$H32)</f>
        <v>140</v>
      </c>
      <c r="Y32" s="387" t="n">
        <f aca="false">$S32*MAX(0,MIN($W32,$C$7-SUMIFS($W$11:$W$54,$X$11:$X$54,"&lt;"&amp;$X32)))</f>
        <v>0</v>
      </c>
      <c r="Z32" s="387" t="n">
        <f aca="false">$W32-$Y32</f>
        <v>0</v>
      </c>
      <c r="AA32" s="389" t="n">
        <f aca="false">$S32*($T32-$U32-$Z32)</f>
        <v>0</v>
      </c>
      <c r="AB32" s="389" t="n">
        <f aca="false">$S32*($T32-$U32)</f>
        <v>0</v>
      </c>
      <c r="AC32" s="387" t="n">
        <f aca="false">IF(AND($S32=1,$H32&lt;=$C$8),$Z32-N($O32),0)</f>
        <v>0</v>
      </c>
      <c r="AD32" s="390"/>
    </row>
    <row r="33" customFormat="false" ht="15" hidden="false" customHeight="true" outlineLevel="0" collapsed="false">
      <c r="A33" s="376" t="str">
        <f aca="false">Projects!$A$26</f>
        <v>BD-10</v>
      </c>
      <c r="B33" s="377"/>
      <c r="C33" s="378" t="str">
        <f aca="false">Projects!$F$26</f>
        <v>No</v>
      </c>
      <c r="D33" s="378" t="str">
        <f aca="false">Projects!$G$26</f>
        <v>No</v>
      </c>
      <c r="E33" s="379"/>
      <c r="F33" s="380" t="n">
        <f aca="false">IF($E33&lt;&gt;"",$E33,Projects!$B$26)</f>
        <v>18000000</v>
      </c>
      <c r="G33" s="377"/>
      <c r="H33" s="381" t="n">
        <f aca="false">IF($G33&lt;&gt;"",$G33,Projects!$C$26)</f>
        <v>42</v>
      </c>
      <c r="I33" s="382"/>
      <c r="J33" s="379"/>
      <c r="K33" s="377"/>
      <c r="L33" s="379"/>
      <c r="M33" s="377"/>
      <c r="N33" s="382"/>
      <c r="O33" s="379"/>
      <c r="P33" s="377"/>
      <c r="Q33" s="379"/>
      <c r="R33" s="377"/>
      <c r="S33" s="381" t="n">
        <f aca="false">IF(AND($C33="Yes",$D33="Yes"),1,0)</f>
        <v>0</v>
      </c>
      <c r="T33" s="380" t="n">
        <f aca="false">$S33*IF($J33&lt;&gt;"",$J33,$F33*IF($I33&lt;&gt;"",$I33,$C$4)/(1+IF($I33&lt;&gt;"",$I33,$C$4)))</f>
        <v>0</v>
      </c>
      <c r="U33" s="380" t="n">
        <f aca="false">$S33*IF($L33&lt;&gt;"",$L33,$F33*$C$5)</f>
        <v>0</v>
      </c>
      <c r="V33" s="380" t="n">
        <f aca="false">$S33*$F33*IF($N33&lt;&gt;"",$N33,$C$6)</f>
        <v>0</v>
      </c>
      <c r="W33" s="380" t="n">
        <f aca="false">MAX(0,$V33-$U33)</f>
        <v>0</v>
      </c>
      <c r="X33" s="381" t="n">
        <f aca="false">IF($B33&lt;&gt;"",$B33,100+$H33)</f>
        <v>142</v>
      </c>
      <c r="Y33" s="380" t="n">
        <f aca="false">$S33*MAX(0,MIN($W33,$C$7-SUMIFS($W$11:$W$54,$X$11:$X$54,"&lt;"&amp;$X33)))</f>
        <v>0</v>
      </c>
      <c r="Z33" s="380" t="n">
        <f aca="false">$W33-$Y33</f>
        <v>0</v>
      </c>
      <c r="AA33" s="383" t="n">
        <f aca="false">$S33*($T33-$U33-$Z33)</f>
        <v>0</v>
      </c>
      <c r="AB33" s="383" t="n">
        <f aca="false">$S33*($T33-$U33)</f>
        <v>0</v>
      </c>
      <c r="AC33" s="380" t="n">
        <f aca="false">IF(AND($S33=1,$H33&lt;=$C$8),$Z33-N($O33),0)</f>
        <v>0</v>
      </c>
      <c r="AD33" s="384"/>
    </row>
    <row r="34" customFormat="false" ht="15" hidden="false" customHeight="true" outlineLevel="0" collapsed="false">
      <c r="A34" s="385" t="str">
        <f aca="false">Projects!$A$27</f>
        <v>BD-11</v>
      </c>
      <c r="B34" s="377"/>
      <c r="C34" s="386" t="str">
        <f aca="false">Projects!$F$27</f>
        <v>No</v>
      </c>
      <c r="D34" s="386" t="str">
        <f aca="false">Projects!$G$27</f>
        <v>No</v>
      </c>
      <c r="E34" s="379"/>
      <c r="F34" s="387" t="n">
        <f aca="false">IF($E34&lt;&gt;"",$E34,Projects!$B$27)</f>
        <v>15000000</v>
      </c>
      <c r="G34" s="377"/>
      <c r="H34" s="388" t="n">
        <f aca="false">IF($G34&lt;&gt;"",$G34,Projects!$C$27)</f>
        <v>44</v>
      </c>
      <c r="I34" s="382"/>
      <c r="J34" s="379"/>
      <c r="K34" s="377"/>
      <c r="L34" s="379"/>
      <c r="M34" s="377"/>
      <c r="N34" s="382"/>
      <c r="O34" s="379"/>
      <c r="P34" s="377"/>
      <c r="Q34" s="379"/>
      <c r="R34" s="377"/>
      <c r="S34" s="388" t="n">
        <f aca="false">IF(AND($C34="Yes",$D34="Yes"),1,0)</f>
        <v>0</v>
      </c>
      <c r="T34" s="387" t="n">
        <f aca="false">$S34*IF($J34&lt;&gt;"",$J34,$F34*IF($I34&lt;&gt;"",$I34,$C$4)/(1+IF($I34&lt;&gt;"",$I34,$C$4)))</f>
        <v>0</v>
      </c>
      <c r="U34" s="387" t="n">
        <f aca="false">$S34*IF($L34&lt;&gt;"",$L34,$F34*$C$5)</f>
        <v>0</v>
      </c>
      <c r="V34" s="387" t="n">
        <f aca="false">$S34*$F34*IF($N34&lt;&gt;"",$N34,$C$6)</f>
        <v>0</v>
      </c>
      <c r="W34" s="387" t="n">
        <f aca="false">MAX(0,$V34-$U34)</f>
        <v>0</v>
      </c>
      <c r="X34" s="388" t="n">
        <f aca="false">IF($B34&lt;&gt;"",$B34,100+$H34)</f>
        <v>144</v>
      </c>
      <c r="Y34" s="387" t="n">
        <f aca="false">$S34*MAX(0,MIN($W34,$C$7-SUMIFS($W$11:$W$54,$X$11:$X$54,"&lt;"&amp;$X34)))</f>
        <v>0</v>
      </c>
      <c r="Z34" s="387" t="n">
        <f aca="false">$W34-$Y34</f>
        <v>0</v>
      </c>
      <c r="AA34" s="389" t="n">
        <f aca="false">$S34*($T34-$U34-$Z34)</f>
        <v>0</v>
      </c>
      <c r="AB34" s="389" t="n">
        <f aca="false">$S34*($T34-$U34)</f>
        <v>0</v>
      </c>
      <c r="AC34" s="387" t="n">
        <f aca="false">IF(AND($S34=1,$H34&lt;=$C$8),$Z34-N($O34),0)</f>
        <v>0</v>
      </c>
      <c r="AD34" s="390"/>
    </row>
    <row r="35" customFormat="false" ht="15" hidden="false" customHeight="true" outlineLevel="0" collapsed="false">
      <c r="A35" s="376" t="str">
        <f aca="false">Projects!$A$28</f>
        <v>BD-12</v>
      </c>
      <c r="B35" s="377"/>
      <c r="C35" s="378" t="str">
        <f aca="false">Projects!$F$28</f>
        <v>Yes</v>
      </c>
      <c r="D35" s="378" t="str">
        <f aca="false">Projects!$G$28</f>
        <v>No</v>
      </c>
      <c r="E35" s="379"/>
      <c r="F35" s="380" t="n">
        <f aca="false">IF($E35&lt;&gt;"",$E35,Projects!$B$28)</f>
        <v>15000000</v>
      </c>
      <c r="G35" s="377"/>
      <c r="H35" s="381" t="n">
        <f aca="false">IF($G35&lt;&gt;"",$G35,Projects!$C$28)</f>
        <v>46</v>
      </c>
      <c r="I35" s="382"/>
      <c r="J35" s="379"/>
      <c r="K35" s="377"/>
      <c r="L35" s="379"/>
      <c r="M35" s="377"/>
      <c r="N35" s="382"/>
      <c r="O35" s="379"/>
      <c r="P35" s="377"/>
      <c r="Q35" s="379"/>
      <c r="R35" s="377"/>
      <c r="S35" s="381" t="n">
        <f aca="false">IF(AND($C35="Yes",$D35="Yes"),1,0)</f>
        <v>0</v>
      </c>
      <c r="T35" s="380" t="n">
        <f aca="false">$S35*IF($J35&lt;&gt;"",$J35,$F35*IF($I35&lt;&gt;"",$I35,$C$4)/(1+IF($I35&lt;&gt;"",$I35,$C$4)))</f>
        <v>0</v>
      </c>
      <c r="U35" s="380" t="n">
        <f aca="false">$S35*IF($L35&lt;&gt;"",$L35,$F35*$C$5)</f>
        <v>0</v>
      </c>
      <c r="V35" s="380" t="n">
        <f aca="false">$S35*$F35*IF($N35&lt;&gt;"",$N35,$C$6)</f>
        <v>0</v>
      </c>
      <c r="W35" s="380" t="n">
        <f aca="false">MAX(0,$V35-$U35)</f>
        <v>0</v>
      </c>
      <c r="X35" s="381" t="n">
        <f aca="false">IF($B35&lt;&gt;"",$B35,100+$H35)</f>
        <v>146</v>
      </c>
      <c r="Y35" s="380" t="n">
        <f aca="false">$S35*MAX(0,MIN($W35,$C$7-SUMIFS($W$11:$W$54,$X$11:$X$54,"&lt;"&amp;$X35)))</f>
        <v>0</v>
      </c>
      <c r="Z35" s="380" t="n">
        <f aca="false">$W35-$Y35</f>
        <v>0</v>
      </c>
      <c r="AA35" s="383" t="n">
        <f aca="false">$S35*($T35-$U35-$Z35)</f>
        <v>0</v>
      </c>
      <c r="AB35" s="383" t="n">
        <f aca="false">$S35*($T35-$U35)</f>
        <v>0</v>
      </c>
      <c r="AC35" s="380" t="n">
        <f aca="false">IF(AND($S35=1,$H35&lt;=$C$8),$Z35-N($O35),0)</f>
        <v>0</v>
      </c>
      <c r="AD35" s="384"/>
    </row>
    <row r="36" customFormat="false" ht="15" hidden="false" customHeight="true" outlineLevel="0" collapsed="false">
      <c r="A36" s="385" t="str">
        <f aca="false">Projects!$A$29</f>
        <v>BD-13</v>
      </c>
      <c r="B36" s="377"/>
      <c r="C36" s="386" t="str">
        <f aca="false">Projects!$F$29</f>
        <v>No</v>
      </c>
      <c r="D36" s="386" t="str">
        <f aca="false">Projects!$G$29</f>
        <v>No</v>
      </c>
      <c r="E36" s="379"/>
      <c r="F36" s="387" t="n">
        <f aca="false">IF($E36&lt;&gt;"",$E36,Projects!$B$29)</f>
        <v>15000000</v>
      </c>
      <c r="G36" s="377"/>
      <c r="H36" s="388" t="n">
        <f aca="false">IF($G36&lt;&gt;"",$G36,Projects!$C$29)</f>
        <v>48</v>
      </c>
      <c r="I36" s="382"/>
      <c r="J36" s="379"/>
      <c r="K36" s="377"/>
      <c r="L36" s="379"/>
      <c r="M36" s="377"/>
      <c r="N36" s="382"/>
      <c r="O36" s="379"/>
      <c r="P36" s="377"/>
      <c r="Q36" s="379"/>
      <c r="R36" s="377"/>
      <c r="S36" s="388" t="n">
        <f aca="false">IF(AND($C36="Yes",$D36="Yes"),1,0)</f>
        <v>0</v>
      </c>
      <c r="T36" s="387" t="n">
        <f aca="false">$S36*IF($J36&lt;&gt;"",$J36,$F36*IF($I36&lt;&gt;"",$I36,$C$4)/(1+IF($I36&lt;&gt;"",$I36,$C$4)))</f>
        <v>0</v>
      </c>
      <c r="U36" s="387" t="n">
        <f aca="false">$S36*IF($L36&lt;&gt;"",$L36,$F36*$C$5)</f>
        <v>0</v>
      </c>
      <c r="V36" s="387" t="n">
        <f aca="false">$S36*$F36*IF($N36&lt;&gt;"",$N36,$C$6)</f>
        <v>0</v>
      </c>
      <c r="W36" s="387" t="n">
        <f aca="false">MAX(0,$V36-$U36)</f>
        <v>0</v>
      </c>
      <c r="X36" s="388" t="n">
        <f aca="false">IF($B36&lt;&gt;"",$B36,100+$H36)</f>
        <v>148</v>
      </c>
      <c r="Y36" s="387" t="n">
        <f aca="false">$S36*MAX(0,MIN($W36,$C$7-SUMIFS($W$11:$W$54,$X$11:$X$54,"&lt;"&amp;$X36)))</f>
        <v>0</v>
      </c>
      <c r="Z36" s="387" t="n">
        <f aca="false">$W36-$Y36</f>
        <v>0</v>
      </c>
      <c r="AA36" s="389" t="n">
        <f aca="false">$S36*($T36-$U36-$Z36)</f>
        <v>0</v>
      </c>
      <c r="AB36" s="389" t="n">
        <f aca="false">$S36*($T36-$U36)</f>
        <v>0</v>
      </c>
      <c r="AC36" s="387" t="n">
        <f aca="false">IF(AND($S36=1,$H36&lt;=$C$8),$Z36-N($O36),0)</f>
        <v>0</v>
      </c>
      <c r="AD36" s="390"/>
    </row>
    <row r="37" customFormat="false" ht="15" hidden="false" customHeight="true" outlineLevel="0" collapsed="false">
      <c r="A37" s="376" t="str">
        <f aca="false">Projects!$A$30</f>
        <v>BD-14</v>
      </c>
      <c r="B37" s="377"/>
      <c r="C37" s="378" t="str">
        <f aca="false">Projects!$F$30</f>
        <v>No</v>
      </c>
      <c r="D37" s="378" t="str">
        <f aca="false">Projects!$G$30</f>
        <v>No</v>
      </c>
      <c r="E37" s="379"/>
      <c r="F37" s="380" t="n">
        <f aca="false">IF($E37&lt;&gt;"",$E37,Projects!$B$30)</f>
        <v>15000000</v>
      </c>
      <c r="G37" s="377"/>
      <c r="H37" s="381" t="n">
        <f aca="false">IF($G37&lt;&gt;"",$G37,Projects!$C$30)</f>
        <v>50</v>
      </c>
      <c r="I37" s="382"/>
      <c r="J37" s="379"/>
      <c r="K37" s="377"/>
      <c r="L37" s="379"/>
      <c r="M37" s="377"/>
      <c r="N37" s="382"/>
      <c r="O37" s="379"/>
      <c r="P37" s="377"/>
      <c r="Q37" s="379"/>
      <c r="R37" s="377"/>
      <c r="S37" s="381" t="n">
        <f aca="false">IF(AND($C37="Yes",$D37="Yes"),1,0)</f>
        <v>0</v>
      </c>
      <c r="T37" s="380" t="n">
        <f aca="false">$S37*IF($J37&lt;&gt;"",$J37,$F37*IF($I37&lt;&gt;"",$I37,$C$4)/(1+IF($I37&lt;&gt;"",$I37,$C$4)))</f>
        <v>0</v>
      </c>
      <c r="U37" s="380" t="n">
        <f aca="false">$S37*IF($L37&lt;&gt;"",$L37,$F37*$C$5)</f>
        <v>0</v>
      </c>
      <c r="V37" s="380" t="n">
        <f aca="false">$S37*$F37*IF($N37&lt;&gt;"",$N37,$C$6)</f>
        <v>0</v>
      </c>
      <c r="W37" s="380" t="n">
        <f aca="false">MAX(0,$V37-$U37)</f>
        <v>0</v>
      </c>
      <c r="X37" s="381" t="n">
        <f aca="false">IF($B37&lt;&gt;"",$B37,100+$H37)</f>
        <v>150</v>
      </c>
      <c r="Y37" s="380" t="n">
        <f aca="false">$S37*MAX(0,MIN($W37,$C$7-SUMIFS($W$11:$W$54,$X$11:$X$54,"&lt;"&amp;$X37)))</f>
        <v>0</v>
      </c>
      <c r="Z37" s="380" t="n">
        <f aca="false">$W37-$Y37</f>
        <v>0</v>
      </c>
      <c r="AA37" s="383" t="n">
        <f aca="false">$S37*($T37-$U37-$Z37)</f>
        <v>0</v>
      </c>
      <c r="AB37" s="383" t="n">
        <f aca="false">$S37*($T37-$U37)</f>
        <v>0</v>
      </c>
      <c r="AC37" s="380" t="n">
        <f aca="false">IF(AND($S37=1,$H37&lt;=$C$8),$Z37-N($O37),0)</f>
        <v>0</v>
      </c>
      <c r="AD37" s="384"/>
    </row>
    <row r="38" customFormat="false" ht="15" hidden="false" customHeight="true" outlineLevel="0" collapsed="false">
      <c r="A38" s="385" t="str">
        <f aca="false">Projects!$A$31</f>
        <v>BD-15</v>
      </c>
      <c r="B38" s="377"/>
      <c r="C38" s="386" t="str">
        <f aca="false">Projects!$F$31</f>
        <v>No</v>
      </c>
      <c r="D38" s="386" t="str">
        <f aca="false">Projects!$G$31</f>
        <v>No</v>
      </c>
      <c r="E38" s="379"/>
      <c r="F38" s="387" t="n">
        <f aca="false">IF($E38&lt;&gt;"",$E38,Projects!$B$31)</f>
        <v>18000000</v>
      </c>
      <c r="G38" s="377"/>
      <c r="H38" s="388" t="n">
        <f aca="false">IF($G38&lt;&gt;"",$G38,Projects!$C$31)</f>
        <v>52</v>
      </c>
      <c r="I38" s="382"/>
      <c r="J38" s="379"/>
      <c r="K38" s="377"/>
      <c r="L38" s="379"/>
      <c r="M38" s="377"/>
      <c r="N38" s="382"/>
      <c r="O38" s="379"/>
      <c r="P38" s="377"/>
      <c r="Q38" s="379"/>
      <c r="R38" s="377"/>
      <c r="S38" s="388" t="n">
        <f aca="false">IF(AND($C38="Yes",$D38="Yes"),1,0)</f>
        <v>0</v>
      </c>
      <c r="T38" s="387" t="n">
        <f aca="false">$S38*IF($J38&lt;&gt;"",$J38,$F38*IF($I38&lt;&gt;"",$I38,$C$4)/(1+IF($I38&lt;&gt;"",$I38,$C$4)))</f>
        <v>0</v>
      </c>
      <c r="U38" s="387" t="n">
        <f aca="false">$S38*IF($L38&lt;&gt;"",$L38,$F38*$C$5)</f>
        <v>0</v>
      </c>
      <c r="V38" s="387" t="n">
        <f aca="false">$S38*$F38*IF($N38&lt;&gt;"",$N38,$C$6)</f>
        <v>0</v>
      </c>
      <c r="W38" s="387" t="n">
        <f aca="false">MAX(0,$V38-$U38)</f>
        <v>0</v>
      </c>
      <c r="X38" s="388" t="n">
        <f aca="false">IF($B38&lt;&gt;"",$B38,100+$H38)</f>
        <v>152</v>
      </c>
      <c r="Y38" s="387" t="n">
        <f aca="false">$S38*MAX(0,MIN($W38,$C$7-SUMIFS($W$11:$W$54,$X$11:$X$54,"&lt;"&amp;$X38)))</f>
        <v>0</v>
      </c>
      <c r="Z38" s="387" t="n">
        <f aca="false">$W38-$Y38</f>
        <v>0</v>
      </c>
      <c r="AA38" s="389" t="n">
        <f aca="false">$S38*($T38-$U38-$Z38)</f>
        <v>0</v>
      </c>
      <c r="AB38" s="389" t="n">
        <f aca="false">$S38*($T38-$U38)</f>
        <v>0</v>
      </c>
      <c r="AC38" s="387" t="n">
        <f aca="false">IF(AND($S38=1,$H38&lt;=$C$8),$Z38-N($O38),0)</f>
        <v>0</v>
      </c>
      <c r="AD38" s="390"/>
    </row>
    <row r="39" customFormat="false" ht="15" hidden="false" customHeight="true" outlineLevel="0" collapsed="false">
      <c r="A39" s="376" t="str">
        <f aca="false">Projects!$A$32</f>
        <v>BD-16</v>
      </c>
      <c r="B39" s="377"/>
      <c r="C39" s="378" t="str">
        <f aca="false">Projects!$F$32</f>
        <v>No</v>
      </c>
      <c r="D39" s="378" t="str">
        <f aca="false">Projects!$G$32</f>
        <v>No</v>
      </c>
      <c r="E39" s="379"/>
      <c r="F39" s="380" t="n">
        <f aca="false">IF($E39&lt;&gt;"",$E39,Projects!$B$32)</f>
        <v>15000000</v>
      </c>
      <c r="G39" s="377"/>
      <c r="H39" s="381" t="n">
        <f aca="false">IF($G39&lt;&gt;"",$G39,Projects!$C$32)</f>
        <v>54</v>
      </c>
      <c r="I39" s="382"/>
      <c r="J39" s="379"/>
      <c r="K39" s="377"/>
      <c r="L39" s="379"/>
      <c r="M39" s="377"/>
      <c r="N39" s="382"/>
      <c r="O39" s="379"/>
      <c r="P39" s="377"/>
      <c r="Q39" s="379"/>
      <c r="R39" s="377"/>
      <c r="S39" s="381" t="n">
        <f aca="false">IF(AND($C39="Yes",$D39="Yes"),1,0)</f>
        <v>0</v>
      </c>
      <c r="T39" s="380" t="n">
        <f aca="false">$S39*IF($J39&lt;&gt;"",$J39,$F39*IF($I39&lt;&gt;"",$I39,$C$4)/(1+IF($I39&lt;&gt;"",$I39,$C$4)))</f>
        <v>0</v>
      </c>
      <c r="U39" s="380" t="n">
        <f aca="false">$S39*IF($L39&lt;&gt;"",$L39,$F39*$C$5)</f>
        <v>0</v>
      </c>
      <c r="V39" s="380" t="n">
        <f aca="false">$S39*$F39*IF($N39&lt;&gt;"",$N39,$C$6)</f>
        <v>0</v>
      </c>
      <c r="W39" s="380" t="n">
        <f aca="false">MAX(0,$V39-$U39)</f>
        <v>0</v>
      </c>
      <c r="X39" s="381" t="n">
        <f aca="false">IF($B39&lt;&gt;"",$B39,100+$H39)</f>
        <v>154</v>
      </c>
      <c r="Y39" s="380" t="n">
        <f aca="false">$S39*MAX(0,MIN($W39,$C$7-SUMIFS($W$11:$W$54,$X$11:$X$54,"&lt;"&amp;$X39)))</f>
        <v>0</v>
      </c>
      <c r="Z39" s="380" t="n">
        <f aca="false">$W39-$Y39</f>
        <v>0</v>
      </c>
      <c r="AA39" s="383" t="n">
        <f aca="false">$S39*($T39-$U39-$Z39)</f>
        <v>0</v>
      </c>
      <c r="AB39" s="383" t="n">
        <f aca="false">$S39*($T39-$U39)</f>
        <v>0</v>
      </c>
      <c r="AC39" s="380" t="n">
        <f aca="false">IF(AND($S39=1,$H39&lt;=$C$8),$Z39-N($O39),0)</f>
        <v>0</v>
      </c>
      <c r="AD39" s="384"/>
    </row>
    <row r="40" customFormat="false" ht="15" hidden="false" customHeight="true" outlineLevel="0" collapsed="false">
      <c r="A40" s="385" t="str">
        <f aca="false">Projects!$A$33</f>
        <v>BD-17</v>
      </c>
      <c r="B40" s="377"/>
      <c r="C40" s="386" t="str">
        <f aca="false">Projects!$F$33</f>
        <v>No</v>
      </c>
      <c r="D40" s="386" t="str">
        <f aca="false">Projects!$G$33</f>
        <v>No</v>
      </c>
      <c r="E40" s="379"/>
      <c r="F40" s="387" t="n">
        <f aca="false">IF($E40&lt;&gt;"",$E40,Projects!$B$33)</f>
        <v>15000000</v>
      </c>
      <c r="G40" s="377"/>
      <c r="H40" s="388" t="n">
        <f aca="false">IF($G40&lt;&gt;"",$G40,Projects!$C$33)</f>
        <v>56</v>
      </c>
      <c r="I40" s="382"/>
      <c r="J40" s="379"/>
      <c r="K40" s="377"/>
      <c r="L40" s="379"/>
      <c r="M40" s="377"/>
      <c r="N40" s="382"/>
      <c r="O40" s="379"/>
      <c r="P40" s="377"/>
      <c r="Q40" s="379"/>
      <c r="R40" s="377"/>
      <c r="S40" s="388" t="n">
        <f aca="false">IF(AND($C40="Yes",$D40="Yes"),1,0)</f>
        <v>0</v>
      </c>
      <c r="T40" s="387" t="n">
        <f aca="false">$S40*IF($J40&lt;&gt;"",$J40,$F40*IF($I40&lt;&gt;"",$I40,$C$4)/(1+IF($I40&lt;&gt;"",$I40,$C$4)))</f>
        <v>0</v>
      </c>
      <c r="U40" s="387" t="n">
        <f aca="false">$S40*IF($L40&lt;&gt;"",$L40,$F40*$C$5)</f>
        <v>0</v>
      </c>
      <c r="V40" s="387" t="n">
        <f aca="false">$S40*$F40*IF($N40&lt;&gt;"",$N40,$C$6)</f>
        <v>0</v>
      </c>
      <c r="W40" s="387" t="n">
        <f aca="false">MAX(0,$V40-$U40)</f>
        <v>0</v>
      </c>
      <c r="X40" s="388" t="n">
        <f aca="false">IF($B40&lt;&gt;"",$B40,100+$H40)</f>
        <v>156</v>
      </c>
      <c r="Y40" s="387" t="n">
        <f aca="false">$S40*MAX(0,MIN($W40,$C$7-SUMIFS($W$11:$W$54,$X$11:$X$54,"&lt;"&amp;$X40)))</f>
        <v>0</v>
      </c>
      <c r="Z40" s="387" t="n">
        <f aca="false">$W40-$Y40</f>
        <v>0</v>
      </c>
      <c r="AA40" s="389" t="n">
        <f aca="false">$S40*($T40-$U40-$Z40)</f>
        <v>0</v>
      </c>
      <c r="AB40" s="389" t="n">
        <f aca="false">$S40*($T40-$U40)</f>
        <v>0</v>
      </c>
      <c r="AC40" s="387" t="n">
        <f aca="false">IF(AND($S40=1,$H40&lt;=$C$8),$Z40-N($O40),0)</f>
        <v>0</v>
      </c>
      <c r="AD40" s="390"/>
    </row>
    <row r="41" customFormat="false" ht="15" hidden="false" customHeight="true" outlineLevel="0" collapsed="false">
      <c r="A41" s="376" t="str">
        <f aca="false">Projects!$A$34</f>
        <v>BD-18</v>
      </c>
      <c r="B41" s="377"/>
      <c r="C41" s="378" t="str">
        <f aca="false">Projects!$F$34</f>
        <v>Yes</v>
      </c>
      <c r="D41" s="378" t="str">
        <f aca="false">Projects!$G$34</f>
        <v>No</v>
      </c>
      <c r="E41" s="379"/>
      <c r="F41" s="380" t="n">
        <f aca="false">IF($E41&lt;&gt;"",$E41,Projects!$B$34)</f>
        <v>18000000</v>
      </c>
      <c r="G41" s="377"/>
      <c r="H41" s="381" t="n">
        <f aca="false">IF($G41&lt;&gt;"",$G41,Projects!$C$34)</f>
        <v>58</v>
      </c>
      <c r="I41" s="382"/>
      <c r="J41" s="379"/>
      <c r="K41" s="377"/>
      <c r="L41" s="379"/>
      <c r="M41" s="377"/>
      <c r="N41" s="382"/>
      <c r="O41" s="379"/>
      <c r="P41" s="377"/>
      <c r="Q41" s="379"/>
      <c r="R41" s="377"/>
      <c r="S41" s="381" t="n">
        <f aca="false">IF(AND($C41="Yes",$D41="Yes"),1,0)</f>
        <v>0</v>
      </c>
      <c r="T41" s="380" t="n">
        <f aca="false">$S41*IF($J41&lt;&gt;"",$J41,$F41*IF($I41&lt;&gt;"",$I41,$C$4)/(1+IF($I41&lt;&gt;"",$I41,$C$4)))</f>
        <v>0</v>
      </c>
      <c r="U41" s="380" t="n">
        <f aca="false">$S41*IF($L41&lt;&gt;"",$L41,$F41*$C$5)</f>
        <v>0</v>
      </c>
      <c r="V41" s="380" t="n">
        <f aca="false">$S41*$F41*IF($N41&lt;&gt;"",$N41,$C$6)</f>
        <v>0</v>
      </c>
      <c r="W41" s="380" t="n">
        <f aca="false">MAX(0,$V41-$U41)</f>
        <v>0</v>
      </c>
      <c r="X41" s="381" t="n">
        <f aca="false">IF($B41&lt;&gt;"",$B41,100+$H41)</f>
        <v>158</v>
      </c>
      <c r="Y41" s="380" t="n">
        <f aca="false">$S41*MAX(0,MIN($W41,$C$7-SUMIFS($W$11:$W$54,$X$11:$X$54,"&lt;"&amp;$X41)))</f>
        <v>0</v>
      </c>
      <c r="Z41" s="380" t="n">
        <f aca="false">$W41-$Y41</f>
        <v>0</v>
      </c>
      <c r="AA41" s="383" t="n">
        <f aca="false">$S41*($T41-$U41-$Z41)</f>
        <v>0</v>
      </c>
      <c r="AB41" s="383" t="n">
        <f aca="false">$S41*($T41-$U41)</f>
        <v>0</v>
      </c>
      <c r="AC41" s="380" t="n">
        <f aca="false">IF(AND($S41=1,$H41&lt;=$C$8),$Z41-N($O41),0)</f>
        <v>0</v>
      </c>
      <c r="AD41" s="384"/>
    </row>
    <row r="42" customFormat="false" ht="15" hidden="false" customHeight="true" outlineLevel="0" collapsed="false">
      <c r="A42" s="385" t="str">
        <f aca="false">Projects!$A$35</f>
        <v>BD-19</v>
      </c>
      <c r="B42" s="377"/>
      <c r="C42" s="386" t="str">
        <f aca="false">Projects!$F$35</f>
        <v>No</v>
      </c>
      <c r="D42" s="386" t="str">
        <f aca="false">Projects!$G$35</f>
        <v>No</v>
      </c>
      <c r="E42" s="379"/>
      <c r="F42" s="387" t="n">
        <f aca="false">IF($E42&lt;&gt;"",$E42,Projects!$B$35)</f>
        <v>15000000</v>
      </c>
      <c r="G42" s="377"/>
      <c r="H42" s="388" t="n">
        <f aca="false">IF($G42&lt;&gt;"",$G42,Projects!$C$35)</f>
        <v>60</v>
      </c>
      <c r="I42" s="382"/>
      <c r="J42" s="379"/>
      <c r="K42" s="377"/>
      <c r="L42" s="379"/>
      <c r="M42" s="377"/>
      <c r="N42" s="382"/>
      <c r="O42" s="379"/>
      <c r="P42" s="377"/>
      <c r="Q42" s="379"/>
      <c r="R42" s="377"/>
      <c r="S42" s="388" t="n">
        <f aca="false">IF(AND($C42="Yes",$D42="Yes"),1,0)</f>
        <v>0</v>
      </c>
      <c r="T42" s="387" t="n">
        <f aca="false">$S42*IF($J42&lt;&gt;"",$J42,$F42*IF($I42&lt;&gt;"",$I42,$C$4)/(1+IF($I42&lt;&gt;"",$I42,$C$4)))</f>
        <v>0</v>
      </c>
      <c r="U42" s="387" t="n">
        <f aca="false">$S42*IF($L42&lt;&gt;"",$L42,$F42*$C$5)</f>
        <v>0</v>
      </c>
      <c r="V42" s="387" t="n">
        <f aca="false">$S42*$F42*IF($N42&lt;&gt;"",$N42,$C$6)</f>
        <v>0</v>
      </c>
      <c r="W42" s="387" t="n">
        <f aca="false">MAX(0,$V42-$U42)</f>
        <v>0</v>
      </c>
      <c r="X42" s="388" t="n">
        <f aca="false">IF($B42&lt;&gt;"",$B42,100+$H42)</f>
        <v>160</v>
      </c>
      <c r="Y42" s="387" t="n">
        <f aca="false">$S42*MAX(0,MIN($W42,$C$7-SUMIFS($W$11:$W$54,$X$11:$X$54,"&lt;"&amp;$X42)))</f>
        <v>0</v>
      </c>
      <c r="Z42" s="387" t="n">
        <f aca="false">$W42-$Y42</f>
        <v>0</v>
      </c>
      <c r="AA42" s="389" t="n">
        <f aca="false">$S42*($T42-$U42-$Z42)</f>
        <v>0</v>
      </c>
      <c r="AB42" s="389" t="n">
        <f aca="false">$S42*($T42-$U42)</f>
        <v>0</v>
      </c>
      <c r="AC42" s="387" t="n">
        <f aca="false">IF(AND($S42=1,$H42&lt;=$C$8),$Z42-N($O42),0)</f>
        <v>0</v>
      </c>
      <c r="AD42" s="390"/>
    </row>
    <row r="43" customFormat="false" ht="15" hidden="false" customHeight="true" outlineLevel="0" collapsed="false">
      <c r="A43" s="376" t="str">
        <f aca="false">Projects!$A$36</f>
        <v>BD-20</v>
      </c>
      <c r="B43" s="377"/>
      <c r="C43" s="378" t="str">
        <f aca="false">Projects!$F$36</f>
        <v>No</v>
      </c>
      <c r="D43" s="378" t="str">
        <f aca="false">Projects!$G$36</f>
        <v>No</v>
      </c>
      <c r="E43" s="379"/>
      <c r="F43" s="380" t="n">
        <f aca="false">IF($E43&lt;&gt;"",$E43,Projects!$B$36)</f>
        <v>18000000</v>
      </c>
      <c r="G43" s="377"/>
      <c r="H43" s="381" t="n">
        <f aca="false">IF($G43&lt;&gt;"",$G43,Projects!$C$36)</f>
        <v>62</v>
      </c>
      <c r="I43" s="382"/>
      <c r="J43" s="379"/>
      <c r="K43" s="377"/>
      <c r="L43" s="379"/>
      <c r="M43" s="377"/>
      <c r="N43" s="382"/>
      <c r="O43" s="379"/>
      <c r="P43" s="377"/>
      <c r="Q43" s="379"/>
      <c r="R43" s="377"/>
      <c r="S43" s="381" t="n">
        <f aca="false">IF(AND($C43="Yes",$D43="Yes"),1,0)</f>
        <v>0</v>
      </c>
      <c r="T43" s="380" t="n">
        <f aca="false">$S43*IF($J43&lt;&gt;"",$J43,$F43*IF($I43&lt;&gt;"",$I43,$C$4)/(1+IF($I43&lt;&gt;"",$I43,$C$4)))</f>
        <v>0</v>
      </c>
      <c r="U43" s="380" t="n">
        <f aca="false">$S43*IF($L43&lt;&gt;"",$L43,$F43*$C$5)</f>
        <v>0</v>
      </c>
      <c r="V43" s="380" t="n">
        <f aca="false">$S43*$F43*IF($N43&lt;&gt;"",$N43,$C$6)</f>
        <v>0</v>
      </c>
      <c r="W43" s="380" t="n">
        <f aca="false">MAX(0,$V43-$U43)</f>
        <v>0</v>
      </c>
      <c r="X43" s="381" t="n">
        <f aca="false">IF($B43&lt;&gt;"",$B43,100+$H43)</f>
        <v>162</v>
      </c>
      <c r="Y43" s="380" t="n">
        <f aca="false">$S43*MAX(0,MIN($W43,$C$7-SUMIFS($W$11:$W$54,$X$11:$X$54,"&lt;"&amp;$X43)))</f>
        <v>0</v>
      </c>
      <c r="Z43" s="380" t="n">
        <f aca="false">$W43-$Y43</f>
        <v>0</v>
      </c>
      <c r="AA43" s="383" t="n">
        <f aca="false">$S43*($T43-$U43-$Z43)</f>
        <v>0</v>
      </c>
      <c r="AB43" s="383" t="n">
        <f aca="false">$S43*($T43-$U43)</f>
        <v>0</v>
      </c>
      <c r="AC43" s="380" t="n">
        <f aca="false">IF(AND($S43=1,$H43&lt;=$C$8),$Z43-N($O43),0)</f>
        <v>0</v>
      </c>
      <c r="AD43" s="384"/>
    </row>
    <row r="44" customFormat="false" ht="15" hidden="false" customHeight="true" outlineLevel="0" collapsed="false">
      <c r="A44" s="385" t="str">
        <f aca="false">Projects!$A$37</f>
        <v>BD-21</v>
      </c>
      <c r="B44" s="377"/>
      <c r="C44" s="386" t="str">
        <f aca="false">Projects!$F$37</f>
        <v>No</v>
      </c>
      <c r="D44" s="386" t="str">
        <f aca="false">Projects!$G$37</f>
        <v>No</v>
      </c>
      <c r="E44" s="379"/>
      <c r="F44" s="387" t="n">
        <f aca="false">IF($E44&lt;&gt;"",$E44,Projects!$B$37)</f>
        <v>15000000</v>
      </c>
      <c r="G44" s="377"/>
      <c r="H44" s="388" t="n">
        <f aca="false">IF($G44&lt;&gt;"",$G44,Projects!$C$37)</f>
        <v>64</v>
      </c>
      <c r="I44" s="382"/>
      <c r="J44" s="379"/>
      <c r="K44" s="377"/>
      <c r="L44" s="379"/>
      <c r="M44" s="377"/>
      <c r="N44" s="382"/>
      <c r="O44" s="379"/>
      <c r="P44" s="377"/>
      <c r="Q44" s="379"/>
      <c r="R44" s="377"/>
      <c r="S44" s="388" t="n">
        <f aca="false">IF(AND($C44="Yes",$D44="Yes"),1,0)</f>
        <v>0</v>
      </c>
      <c r="T44" s="387" t="n">
        <f aca="false">$S44*IF($J44&lt;&gt;"",$J44,$F44*IF($I44&lt;&gt;"",$I44,$C$4)/(1+IF($I44&lt;&gt;"",$I44,$C$4)))</f>
        <v>0</v>
      </c>
      <c r="U44" s="387" t="n">
        <f aca="false">$S44*IF($L44&lt;&gt;"",$L44,$F44*$C$5)</f>
        <v>0</v>
      </c>
      <c r="V44" s="387" t="n">
        <f aca="false">$S44*$F44*IF($N44&lt;&gt;"",$N44,$C$6)</f>
        <v>0</v>
      </c>
      <c r="W44" s="387" t="n">
        <f aca="false">MAX(0,$V44-$U44)</f>
        <v>0</v>
      </c>
      <c r="X44" s="388" t="n">
        <f aca="false">IF($B44&lt;&gt;"",$B44,100+$H44)</f>
        <v>164</v>
      </c>
      <c r="Y44" s="387" t="n">
        <f aca="false">$S44*MAX(0,MIN($W44,$C$7-SUMIFS($W$11:$W$54,$X$11:$X$54,"&lt;"&amp;$X44)))</f>
        <v>0</v>
      </c>
      <c r="Z44" s="387" t="n">
        <f aca="false">$W44-$Y44</f>
        <v>0</v>
      </c>
      <c r="AA44" s="389" t="n">
        <f aca="false">$S44*($T44-$U44-$Z44)</f>
        <v>0</v>
      </c>
      <c r="AB44" s="389" t="n">
        <f aca="false">$S44*($T44-$U44)</f>
        <v>0</v>
      </c>
      <c r="AC44" s="387" t="n">
        <f aca="false">IF(AND($S44=1,$H44&lt;=$C$8),$Z44-N($O44),0)</f>
        <v>0</v>
      </c>
      <c r="AD44" s="390"/>
    </row>
    <row r="45" customFormat="false" ht="15" hidden="false" customHeight="true" outlineLevel="0" collapsed="false">
      <c r="A45" s="376" t="str">
        <f aca="false">Projects!$A$38</f>
        <v>BD-22</v>
      </c>
      <c r="B45" s="377"/>
      <c r="C45" s="378" t="str">
        <f aca="false">Projects!$F$38</f>
        <v>No</v>
      </c>
      <c r="D45" s="378" t="str">
        <f aca="false">Projects!$G$38</f>
        <v>No</v>
      </c>
      <c r="E45" s="379"/>
      <c r="F45" s="380" t="n">
        <f aca="false">IF($E45&lt;&gt;"",$E45,Projects!$B$38)</f>
        <v>15000000</v>
      </c>
      <c r="G45" s="377"/>
      <c r="H45" s="381" t="n">
        <f aca="false">IF($G45&lt;&gt;"",$G45,Projects!$C$38)</f>
        <v>66</v>
      </c>
      <c r="I45" s="382"/>
      <c r="J45" s="379"/>
      <c r="K45" s="377"/>
      <c r="L45" s="379"/>
      <c r="M45" s="377"/>
      <c r="N45" s="382"/>
      <c r="O45" s="379"/>
      <c r="P45" s="377"/>
      <c r="Q45" s="379"/>
      <c r="R45" s="377"/>
      <c r="S45" s="381" t="n">
        <f aca="false">IF(AND($C45="Yes",$D45="Yes"),1,0)</f>
        <v>0</v>
      </c>
      <c r="T45" s="380" t="n">
        <f aca="false">$S45*IF($J45&lt;&gt;"",$J45,$F45*IF($I45&lt;&gt;"",$I45,$C$4)/(1+IF($I45&lt;&gt;"",$I45,$C$4)))</f>
        <v>0</v>
      </c>
      <c r="U45" s="380" t="n">
        <f aca="false">$S45*IF($L45&lt;&gt;"",$L45,$F45*$C$5)</f>
        <v>0</v>
      </c>
      <c r="V45" s="380" t="n">
        <f aca="false">$S45*$F45*IF($N45&lt;&gt;"",$N45,$C$6)</f>
        <v>0</v>
      </c>
      <c r="W45" s="380" t="n">
        <f aca="false">MAX(0,$V45-$U45)</f>
        <v>0</v>
      </c>
      <c r="X45" s="381" t="n">
        <f aca="false">IF($B45&lt;&gt;"",$B45,100+$H45)</f>
        <v>166</v>
      </c>
      <c r="Y45" s="380" t="n">
        <f aca="false">$S45*MAX(0,MIN($W45,$C$7-SUMIFS($W$11:$W$54,$X$11:$X$54,"&lt;"&amp;$X45)))</f>
        <v>0</v>
      </c>
      <c r="Z45" s="380" t="n">
        <f aca="false">$W45-$Y45</f>
        <v>0</v>
      </c>
      <c r="AA45" s="383" t="n">
        <f aca="false">$S45*($T45-$U45-$Z45)</f>
        <v>0</v>
      </c>
      <c r="AB45" s="383" t="n">
        <f aca="false">$S45*($T45-$U45)</f>
        <v>0</v>
      </c>
      <c r="AC45" s="380" t="n">
        <f aca="false">IF(AND($S45=1,$H45&lt;=$C$8),$Z45-N($O45),0)</f>
        <v>0</v>
      </c>
      <c r="AD45" s="384"/>
    </row>
    <row r="46" customFormat="false" ht="15" hidden="false" customHeight="true" outlineLevel="0" collapsed="false">
      <c r="A46" s="385" t="str">
        <f aca="false">Projects!$A$39</f>
        <v>BD-23</v>
      </c>
      <c r="B46" s="377"/>
      <c r="C46" s="386" t="str">
        <f aca="false">Projects!$F$39</f>
        <v>No</v>
      </c>
      <c r="D46" s="386" t="str">
        <f aca="false">Projects!$G$39</f>
        <v>No</v>
      </c>
      <c r="E46" s="379"/>
      <c r="F46" s="387" t="n">
        <f aca="false">IF($E46&lt;&gt;"",$E46,Projects!$B$39)</f>
        <v>18000000</v>
      </c>
      <c r="G46" s="377"/>
      <c r="H46" s="388" t="n">
        <f aca="false">IF($G46&lt;&gt;"",$G46,Projects!$C$39)</f>
        <v>68</v>
      </c>
      <c r="I46" s="382"/>
      <c r="J46" s="379"/>
      <c r="K46" s="377"/>
      <c r="L46" s="379"/>
      <c r="M46" s="377"/>
      <c r="N46" s="382"/>
      <c r="O46" s="379"/>
      <c r="P46" s="377"/>
      <c r="Q46" s="379"/>
      <c r="R46" s="377"/>
      <c r="S46" s="388" t="n">
        <f aca="false">IF(AND($C46="Yes",$D46="Yes"),1,0)</f>
        <v>0</v>
      </c>
      <c r="T46" s="387" t="n">
        <f aca="false">$S46*IF($J46&lt;&gt;"",$J46,$F46*IF($I46&lt;&gt;"",$I46,$C$4)/(1+IF($I46&lt;&gt;"",$I46,$C$4)))</f>
        <v>0</v>
      </c>
      <c r="U46" s="387" t="n">
        <f aca="false">$S46*IF($L46&lt;&gt;"",$L46,$F46*$C$5)</f>
        <v>0</v>
      </c>
      <c r="V46" s="387" t="n">
        <f aca="false">$S46*$F46*IF($N46&lt;&gt;"",$N46,$C$6)</f>
        <v>0</v>
      </c>
      <c r="W46" s="387" t="n">
        <f aca="false">MAX(0,$V46-$U46)</f>
        <v>0</v>
      </c>
      <c r="X46" s="388" t="n">
        <f aca="false">IF($B46&lt;&gt;"",$B46,100+$H46)</f>
        <v>168</v>
      </c>
      <c r="Y46" s="387" t="n">
        <f aca="false">$S46*MAX(0,MIN($W46,$C$7-SUMIFS($W$11:$W$54,$X$11:$X$54,"&lt;"&amp;$X46)))</f>
        <v>0</v>
      </c>
      <c r="Z46" s="387" t="n">
        <f aca="false">$W46-$Y46</f>
        <v>0</v>
      </c>
      <c r="AA46" s="389" t="n">
        <f aca="false">$S46*($T46-$U46-$Z46)</f>
        <v>0</v>
      </c>
      <c r="AB46" s="389" t="n">
        <f aca="false">$S46*($T46-$U46)</f>
        <v>0</v>
      </c>
      <c r="AC46" s="387" t="n">
        <f aca="false">IF(AND($S46=1,$H46&lt;=$C$8),$Z46-N($O46),0)</f>
        <v>0</v>
      </c>
      <c r="AD46" s="390"/>
    </row>
    <row r="47" customFormat="false" ht="15" hidden="false" customHeight="true" outlineLevel="0" collapsed="false">
      <c r="A47" s="376" t="str">
        <f aca="false">Projects!$A$40</f>
        <v>BD-24</v>
      </c>
      <c r="B47" s="377"/>
      <c r="C47" s="378" t="str">
        <f aca="false">Projects!$F$40</f>
        <v>Yes</v>
      </c>
      <c r="D47" s="378" t="str">
        <f aca="false">Projects!$G$40</f>
        <v>No</v>
      </c>
      <c r="E47" s="379"/>
      <c r="F47" s="380" t="n">
        <f aca="false">IF($E47&lt;&gt;"",$E47,Projects!$B$40)</f>
        <v>15000000</v>
      </c>
      <c r="G47" s="377"/>
      <c r="H47" s="381" t="n">
        <f aca="false">IF($G47&lt;&gt;"",$G47,Projects!$C$40)</f>
        <v>70</v>
      </c>
      <c r="I47" s="382"/>
      <c r="J47" s="379"/>
      <c r="K47" s="377"/>
      <c r="L47" s="379"/>
      <c r="M47" s="377"/>
      <c r="N47" s="382"/>
      <c r="O47" s="379"/>
      <c r="P47" s="377"/>
      <c r="Q47" s="379"/>
      <c r="R47" s="377"/>
      <c r="S47" s="381" t="n">
        <f aca="false">IF(AND($C47="Yes",$D47="Yes"),1,0)</f>
        <v>0</v>
      </c>
      <c r="T47" s="380" t="n">
        <f aca="false">$S47*IF($J47&lt;&gt;"",$J47,$F47*IF($I47&lt;&gt;"",$I47,$C$4)/(1+IF($I47&lt;&gt;"",$I47,$C$4)))</f>
        <v>0</v>
      </c>
      <c r="U47" s="380" t="n">
        <f aca="false">$S47*IF($L47&lt;&gt;"",$L47,$F47*$C$5)</f>
        <v>0</v>
      </c>
      <c r="V47" s="380" t="n">
        <f aca="false">$S47*$F47*IF($N47&lt;&gt;"",$N47,$C$6)</f>
        <v>0</v>
      </c>
      <c r="W47" s="380" t="n">
        <f aca="false">MAX(0,$V47-$U47)</f>
        <v>0</v>
      </c>
      <c r="X47" s="381" t="n">
        <f aca="false">IF($B47&lt;&gt;"",$B47,100+$H47)</f>
        <v>170</v>
      </c>
      <c r="Y47" s="380" t="n">
        <f aca="false">$S47*MAX(0,MIN($W47,$C$7-SUMIFS($W$11:$W$54,$X$11:$X$54,"&lt;"&amp;$X47)))</f>
        <v>0</v>
      </c>
      <c r="Z47" s="380" t="n">
        <f aca="false">$W47-$Y47</f>
        <v>0</v>
      </c>
      <c r="AA47" s="383" t="n">
        <f aca="false">$S47*($T47-$U47-$Z47)</f>
        <v>0</v>
      </c>
      <c r="AB47" s="383" t="n">
        <f aca="false">$S47*($T47-$U47)</f>
        <v>0</v>
      </c>
      <c r="AC47" s="380" t="n">
        <f aca="false">IF(AND($S47=1,$H47&lt;=$C$8),$Z47-N($O47),0)</f>
        <v>0</v>
      </c>
      <c r="AD47" s="384"/>
    </row>
    <row r="48" customFormat="false" ht="15" hidden="false" customHeight="true" outlineLevel="0" collapsed="false">
      <c r="A48" s="385" t="str">
        <f aca="false">Projects!$A$41</f>
        <v>BD-25</v>
      </c>
      <c r="B48" s="377"/>
      <c r="C48" s="386" t="str">
        <f aca="false">Projects!$F$41</f>
        <v>No</v>
      </c>
      <c r="D48" s="386" t="str">
        <f aca="false">Projects!$G$41</f>
        <v>No</v>
      </c>
      <c r="E48" s="379"/>
      <c r="F48" s="387" t="n">
        <f aca="false">IF($E48&lt;&gt;"",$E48,Projects!$B$41)</f>
        <v>15000000</v>
      </c>
      <c r="G48" s="377"/>
      <c r="H48" s="388" t="n">
        <f aca="false">IF($G48&lt;&gt;"",$G48,Projects!$C$41)</f>
        <v>72</v>
      </c>
      <c r="I48" s="382"/>
      <c r="J48" s="379"/>
      <c r="K48" s="377"/>
      <c r="L48" s="379"/>
      <c r="M48" s="377"/>
      <c r="N48" s="382"/>
      <c r="O48" s="379"/>
      <c r="P48" s="377"/>
      <c r="Q48" s="379"/>
      <c r="R48" s="377"/>
      <c r="S48" s="388" t="n">
        <f aca="false">IF(AND($C48="Yes",$D48="Yes"),1,0)</f>
        <v>0</v>
      </c>
      <c r="T48" s="387" t="n">
        <f aca="false">$S48*IF($J48&lt;&gt;"",$J48,$F48*IF($I48&lt;&gt;"",$I48,$C$4)/(1+IF($I48&lt;&gt;"",$I48,$C$4)))</f>
        <v>0</v>
      </c>
      <c r="U48" s="387" t="n">
        <f aca="false">$S48*IF($L48&lt;&gt;"",$L48,$F48*$C$5)</f>
        <v>0</v>
      </c>
      <c r="V48" s="387" t="n">
        <f aca="false">$S48*$F48*IF($N48&lt;&gt;"",$N48,$C$6)</f>
        <v>0</v>
      </c>
      <c r="W48" s="387" t="n">
        <f aca="false">MAX(0,$V48-$U48)</f>
        <v>0</v>
      </c>
      <c r="X48" s="388" t="n">
        <f aca="false">IF($B48&lt;&gt;"",$B48,100+$H48)</f>
        <v>172</v>
      </c>
      <c r="Y48" s="387" t="n">
        <f aca="false">$S48*MAX(0,MIN($W48,$C$7-SUMIFS($W$11:$W$54,$X$11:$X$54,"&lt;"&amp;$X48)))</f>
        <v>0</v>
      </c>
      <c r="Z48" s="387" t="n">
        <f aca="false">$W48-$Y48</f>
        <v>0</v>
      </c>
      <c r="AA48" s="389" t="n">
        <f aca="false">$S48*($T48-$U48-$Z48)</f>
        <v>0</v>
      </c>
      <c r="AB48" s="389" t="n">
        <f aca="false">$S48*($T48-$U48)</f>
        <v>0</v>
      </c>
      <c r="AC48" s="387" t="n">
        <f aca="false">IF(AND($S48=1,$H48&lt;=$C$8),$Z48-N($O48),0)</f>
        <v>0</v>
      </c>
      <c r="AD48" s="390"/>
    </row>
    <row r="49" customFormat="false" ht="15" hidden="false" customHeight="true" outlineLevel="0" collapsed="false">
      <c r="A49" s="376" t="str">
        <f aca="false">Projects!$A$42</f>
        <v>BD-26</v>
      </c>
      <c r="B49" s="377"/>
      <c r="C49" s="378" t="str">
        <f aca="false">Projects!$F$42</f>
        <v>No</v>
      </c>
      <c r="D49" s="378" t="str">
        <f aca="false">Projects!$G$42</f>
        <v>No</v>
      </c>
      <c r="E49" s="379"/>
      <c r="F49" s="380" t="n">
        <f aca="false">IF($E49&lt;&gt;"",$E49,Projects!$B$42)</f>
        <v>18000000</v>
      </c>
      <c r="G49" s="377"/>
      <c r="H49" s="381" t="n">
        <f aca="false">IF($G49&lt;&gt;"",$G49,Projects!$C$42)</f>
        <v>74</v>
      </c>
      <c r="I49" s="382"/>
      <c r="J49" s="379"/>
      <c r="K49" s="377"/>
      <c r="L49" s="379"/>
      <c r="M49" s="377"/>
      <c r="N49" s="382"/>
      <c r="O49" s="379"/>
      <c r="P49" s="377"/>
      <c r="Q49" s="379"/>
      <c r="R49" s="377"/>
      <c r="S49" s="381" t="n">
        <f aca="false">IF(AND($C49="Yes",$D49="Yes"),1,0)</f>
        <v>0</v>
      </c>
      <c r="T49" s="380" t="n">
        <f aca="false">$S49*IF($J49&lt;&gt;"",$J49,$F49*IF($I49&lt;&gt;"",$I49,$C$4)/(1+IF($I49&lt;&gt;"",$I49,$C$4)))</f>
        <v>0</v>
      </c>
      <c r="U49" s="380" t="n">
        <f aca="false">$S49*IF($L49&lt;&gt;"",$L49,$F49*$C$5)</f>
        <v>0</v>
      </c>
      <c r="V49" s="380" t="n">
        <f aca="false">$S49*$F49*IF($N49&lt;&gt;"",$N49,$C$6)</f>
        <v>0</v>
      </c>
      <c r="W49" s="380" t="n">
        <f aca="false">MAX(0,$V49-$U49)</f>
        <v>0</v>
      </c>
      <c r="X49" s="381" t="n">
        <f aca="false">IF($B49&lt;&gt;"",$B49,100+$H49)</f>
        <v>174</v>
      </c>
      <c r="Y49" s="380" t="n">
        <f aca="false">$S49*MAX(0,MIN($W49,$C$7-SUMIFS($W$11:$W$54,$X$11:$X$54,"&lt;"&amp;$X49)))</f>
        <v>0</v>
      </c>
      <c r="Z49" s="380" t="n">
        <f aca="false">$W49-$Y49</f>
        <v>0</v>
      </c>
      <c r="AA49" s="383" t="n">
        <f aca="false">$S49*($T49-$U49-$Z49)</f>
        <v>0</v>
      </c>
      <c r="AB49" s="383" t="n">
        <f aca="false">$S49*($T49-$U49)</f>
        <v>0</v>
      </c>
      <c r="AC49" s="380" t="n">
        <f aca="false">IF(AND($S49=1,$H49&lt;=$C$8),$Z49-N($O49),0)</f>
        <v>0</v>
      </c>
      <c r="AD49" s="384"/>
    </row>
    <row r="50" customFormat="false" ht="15" hidden="false" customHeight="true" outlineLevel="0" collapsed="false">
      <c r="A50" s="385" t="str">
        <f aca="false">Projects!$A$43</f>
        <v>BD-27</v>
      </c>
      <c r="B50" s="377"/>
      <c r="C50" s="386" t="str">
        <f aca="false">Projects!$F$43</f>
        <v>No</v>
      </c>
      <c r="D50" s="386" t="str">
        <f aca="false">Projects!$G$43</f>
        <v>No</v>
      </c>
      <c r="E50" s="379"/>
      <c r="F50" s="387" t="n">
        <f aca="false">IF($E50&lt;&gt;"",$E50,Projects!$B$43)</f>
        <v>15000000</v>
      </c>
      <c r="G50" s="377"/>
      <c r="H50" s="388" t="n">
        <f aca="false">IF($G50&lt;&gt;"",$G50,Projects!$C$43)</f>
        <v>76</v>
      </c>
      <c r="I50" s="382"/>
      <c r="J50" s="379"/>
      <c r="K50" s="377"/>
      <c r="L50" s="379"/>
      <c r="M50" s="377"/>
      <c r="N50" s="382"/>
      <c r="O50" s="379"/>
      <c r="P50" s="377"/>
      <c r="Q50" s="379"/>
      <c r="R50" s="377"/>
      <c r="S50" s="388" t="n">
        <f aca="false">IF(AND($C50="Yes",$D50="Yes"),1,0)</f>
        <v>0</v>
      </c>
      <c r="T50" s="387" t="n">
        <f aca="false">$S50*IF($J50&lt;&gt;"",$J50,$F50*IF($I50&lt;&gt;"",$I50,$C$4)/(1+IF($I50&lt;&gt;"",$I50,$C$4)))</f>
        <v>0</v>
      </c>
      <c r="U50" s="387" t="n">
        <f aca="false">$S50*IF($L50&lt;&gt;"",$L50,$F50*$C$5)</f>
        <v>0</v>
      </c>
      <c r="V50" s="387" t="n">
        <f aca="false">$S50*$F50*IF($N50&lt;&gt;"",$N50,$C$6)</f>
        <v>0</v>
      </c>
      <c r="W50" s="387" t="n">
        <f aca="false">MAX(0,$V50-$U50)</f>
        <v>0</v>
      </c>
      <c r="X50" s="388" t="n">
        <f aca="false">IF($B50&lt;&gt;"",$B50,100+$H50)</f>
        <v>176</v>
      </c>
      <c r="Y50" s="387" t="n">
        <f aca="false">$S50*MAX(0,MIN($W50,$C$7-SUMIFS($W$11:$W$54,$X$11:$X$54,"&lt;"&amp;$X50)))</f>
        <v>0</v>
      </c>
      <c r="Z50" s="387" t="n">
        <f aca="false">$W50-$Y50</f>
        <v>0</v>
      </c>
      <c r="AA50" s="389" t="n">
        <f aca="false">$S50*($T50-$U50-$Z50)</f>
        <v>0</v>
      </c>
      <c r="AB50" s="389" t="n">
        <f aca="false">$S50*($T50-$U50)</f>
        <v>0</v>
      </c>
      <c r="AC50" s="387" t="n">
        <f aca="false">IF(AND($S50=1,$H50&lt;=$C$8),$Z50-N($O50),0)</f>
        <v>0</v>
      </c>
      <c r="AD50" s="390"/>
    </row>
    <row r="51" customFormat="false" ht="15" hidden="false" customHeight="true" outlineLevel="0" collapsed="false">
      <c r="A51" s="376" t="str">
        <f aca="false">Projects!$A$44</f>
        <v>BD-28</v>
      </c>
      <c r="B51" s="377"/>
      <c r="C51" s="378" t="str">
        <f aca="false">Projects!$F$44</f>
        <v>No</v>
      </c>
      <c r="D51" s="378" t="str">
        <f aca="false">Projects!$G$44</f>
        <v>No</v>
      </c>
      <c r="E51" s="379"/>
      <c r="F51" s="380" t="n">
        <f aca="false">IF($E51&lt;&gt;"",$E51,Projects!$B$44)</f>
        <v>15000000</v>
      </c>
      <c r="G51" s="377"/>
      <c r="H51" s="381" t="n">
        <f aca="false">IF($G51&lt;&gt;"",$G51,Projects!$C$44)</f>
        <v>78</v>
      </c>
      <c r="I51" s="382"/>
      <c r="J51" s="379"/>
      <c r="K51" s="377"/>
      <c r="L51" s="379"/>
      <c r="M51" s="377"/>
      <c r="N51" s="382"/>
      <c r="O51" s="379"/>
      <c r="P51" s="377"/>
      <c r="Q51" s="379"/>
      <c r="R51" s="377"/>
      <c r="S51" s="381" t="n">
        <f aca="false">IF(AND($C51="Yes",$D51="Yes"),1,0)</f>
        <v>0</v>
      </c>
      <c r="T51" s="380" t="n">
        <f aca="false">$S51*IF($J51&lt;&gt;"",$J51,$F51*IF($I51&lt;&gt;"",$I51,$C$4)/(1+IF($I51&lt;&gt;"",$I51,$C$4)))</f>
        <v>0</v>
      </c>
      <c r="U51" s="380" t="n">
        <f aca="false">$S51*IF($L51&lt;&gt;"",$L51,$F51*$C$5)</f>
        <v>0</v>
      </c>
      <c r="V51" s="380" t="n">
        <f aca="false">$S51*$F51*IF($N51&lt;&gt;"",$N51,$C$6)</f>
        <v>0</v>
      </c>
      <c r="W51" s="380" t="n">
        <f aca="false">MAX(0,$V51-$U51)</f>
        <v>0</v>
      </c>
      <c r="X51" s="381" t="n">
        <f aca="false">IF($B51&lt;&gt;"",$B51,100+$H51)</f>
        <v>178</v>
      </c>
      <c r="Y51" s="380" t="n">
        <f aca="false">$S51*MAX(0,MIN($W51,$C$7-SUMIFS($W$11:$W$54,$X$11:$X$54,"&lt;"&amp;$X51)))</f>
        <v>0</v>
      </c>
      <c r="Z51" s="380" t="n">
        <f aca="false">$W51-$Y51</f>
        <v>0</v>
      </c>
      <c r="AA51" s="383" t="n">
        <f aca="false">$S51*($T51-$U51-$Z51)</f>
        <v>0</v>
      </c>
      <c r="AB51" s="383" t="n">
        <f aca="false">$S51*($T51-$U51)</f>
        <v>0</v>
      </c>
      <c r="AC51" s="380" t="n">
        <f aca="false">IF(AND($S51=1,$H51&lt;=$C$8),$Z51-N($O51),0)</f>
        <v>0</v>
      </c>
      <c r="AD51" s="384"/>
    </row>
    <row r="52" customFormat="false" ht="15" hidden="false" customHeight="true" outlineLevel="0" collapsed="false">
      <c r="A52" s="385" t="str">
        <f aca="false">Projects!$A$45</f>
        <v>BD-29</v>
      </c>
      <c r="B52" s="377"/>
      <c r="C52" s="386" t="str">
        <f aca="false">Projects!$F$45</f>
        <v>No</v>
      </c>
      <c r="D52" s="386" t="str">
        <f aca="false">Projects!$G$45</f>
        <v>No</v>
      </c>
      <c r="E52" s="379"/>
      <c r="F52" s="387" t="n">
        <f aca="false">IF($E52&lt;&gt;"",$E52,Projects!$B$45)</f>
        <v>18000000</v>
      </c>
      <c r="G52" s="377"/>
      <c r="H52" s="388" t="n">
        <f aca="false">IF($G52&lt;&gt;"",$G52,Projects!$C$45)</f>
        <v>80</v>
      </c>
      <c r="I52" s="382"/>
      <c r="J52" s="379"/>
      <c r="K52" s="377"/>
      <c r="L52" s="379"/>
      <c r="M52" s="377"/>
      <c r="N52" s="382"/>
      <c r="O52" s="379"/>
      <c r="P52" s="377"/>
      <c r="Q52" s="379"/>
      <c r="R52" s="377"/>
      <c r="S52" s="388" t="n">
        <f aca="false">IF(AND($C52="Yes",$D52="Yes"),1,0)</f>
        <v>0</v>
      </c>
      <c r="T52" s="387" t="n">
        <f aca="false">$S52*IF($J52&lt;&gt;"",$J52,$F52*IF($I52&lt;&gt;"",$I52,$C$4)/(1+IF($I52&lt;&gt;"",$I52,$C$4)))</f>
        <v>0</v>
      </c>
      <c r="U52" s="387" t="n">
        <f aca="false">$S52*IF($L52&lt;&gt;"",$L52,$F52*$C$5)</f>
        <v>0</v>
      </c>
      <c r="V52" s="387" t="n">
        <f aca="false">$S52*$F52*IF($N52&lt;&gt;"",$N52,$C$6)</f>
        <v>0</v>
      </c>
      <c r="W52" s="387" t="n">
        <f aca="false">MAX(0,$V52-$U52)</f>
        <v>0</v>
      </c>
      <c r="X52" s="388" t="n">
        <f aca="false">IF($B52&lt;&gt;"",$B52,100+$H52)</f>
        <v>180</v>
      </c>
      <c r="Y52" s="387" t="n">
        <f aca="false">$S52*MAX(0,MIN($W52,$C$7-SUMIFS($W$11:$W$54,$X$11:$X$54,"&lt;"&amp;$X52)))</f>
        <v>0</v>
      </c>
      <c r="Z52" s="387" t="n">
        <f aca="false">$W52-$Y52</f>
        <v>0</v>
      </c>
      <c r="AA52" s="389" t="n">
        <f aca="false">$S52*($T52-$U52-$Z52)</f>
        <v>0</v>
      </c>
      <c r="AB52" s="389" t="n">
        <f aca="false">$S52*($T52-$U52)</f>
        <v>0</v>
      </c>
      <c r="AC52" s="387" t="n">
        <f aca="false">IF(AND($S52=1,$H52&lt;=$C$8),$Z52-N($O52),0)</f>
        <v>0</v>
      </c>
      <c r="AD52" s="390"/>
    </row>
    <row r="53" customFormat="false" ht="15" hidden="false" customHeight="true" outlineLevel="0" collapsed="false">
      <c r="A53" s="376" t="str">
        <f aca="false">Projects!$A$46</f>
        <v>BD-30</v>
      </c>
      <c r="B53" s="377"/>
      <c r="C53" s="378" t="str">
        <f aca="false">Projects!$F$46</f>
        <v>Yes</v>
      </c>
      <c r="D53" s="378" t="str">
        <f aca="false">Projects!$G$46</f>
        <v>No</v>
      </c>
      <c r="E53" s="379"/>
      <c r="F53" s="380" t="n">
        <f aca="false">IF($E53&lt;&gt;"",$E53,Projects!$B$46)</f>
        <v>15000000</v>
      </c>
      <c r="G53" s="377"/>
      <c r="H53" s="381" t="n">
        <f aca="false">IF($G53&lt;&gt;"",$G53,Projects!$C$46)</f>
        <v>82</v>
      </c>
      <c r="I53" s="382"/>
      <c r="J53" s="379"/>
      <c r="K53" s="377"/>
      <c r="L53" s="379"/>
      <c r="M53" s="377"/>
      <c r="N53" s="382"/>
      <c r="O53" s="379"/>
      <c r="P53" s="377"/>
      <c r="Q53" s="379"/>
      <c r="R53" s="377"/>
      <c r="S53" s="381" t="n">
        <f aca="false">IF(AND($C53="Yes",$D53="Yes"),1,0)</f>
        <v>0</v>
      </c>
      <c r="T53" s="380" t="n">
        <f aca="false">$S53*IF($J53&lt;&gt;"",$J53,$F53*IF($I53&lt;&gt;"",$I53,$C$4)/(1+IF($I53&lt;&gt;"",$I53,$C$4)))</f>
        <v>0</v>
      </c>
      <c r="U53" s="380" t="n">
        <f aca="false">$S53*IF($L53&lt;&gt;"",$L53,$F53*$C$5)</f>
        <v>0</v>
      </c>
      <c r="V53" s="380" t="n">
        <f aca="false">$S53*$F53*IF($N53&lt;&gt;"",$N53,$C$6)</f>
        <v>0</v>
      </c>
      <c r="W53" s="380" t="n">
        <f aca="false">MAX(0,$V53-$U53)</f>
        <v>0</v>
      </c>
      <c r="X53" s="381" t="n">
        <f aca="false">IF($B53&lt;&gt;"",$B53,100+$H53)</f>
        <v>182</v>
      </c>
      <c r="Y53" s="380" t="n">
        <f aca="false">$S53*MAX(0,MIN($W53,$C$7-SUMIFS($W$11:$W$54,$X$11:$X$54,"&lt;"&amp;$X53)))</f>
        <v>0</v>
      </c>
      <c r="Z53" s="380" t="n">
        <f aca="false">$W53-$Y53</f>
        <v>0</v>
      </c>
      <c r="AA53" s="383" t="n">
        <f aca="false">$S53*($T53-$U53-$Z53)</f>
        <v>0</v>
      </c>
      <c r="AB53" s="383" t="n">
        <f aca="false">$S53*($T53-$U53)</f>
        <v>0</v>
      </c>
      <c r="AC53" s="380" t="n">
        <f aca="false">IF(AND($S53=1,$H53&lt;=$C$8),$Z53-N($O53),0)</f>
        <v>0</v>
      </c>
      <c r="AD53" s="384"/>
    </row>
    <row r="54" customFormat="false" ht="15" hidden="false" customHeight="true" outlineLevel="0" collapsed="false">
      <c r="A54" s="385" t="s">
        <v>50</v>
      </c>
      <c r="B54" s="377"/>
      <c r="C54" s="386" t="s">
        <v>611</v>
      </c>
      <c r="D54" s="386" t="s">
        <v>611</v>
      </c>
      <c r="E54" s="379"/>
      <c r="F54" s="387" t="n">
        <v>0</v>
      </c>
      <c r="G54" s="377"/>
      <c r="H54" s="388" t="n">
        <v>0</v>
      </c>
      <c r="I54" s="382"/>
      <c r="J54" s="379"/>
      <c r="K54" s="377"/>
      <c r="L54" s="379"/>
      <c r="M54" s="377"/>
      <c r="N54" s="382"/>
      <c r="O54" s="379"/>
      <c r="P54" s="377"/>
      <c r="Q54" s="379"/>
      <c r="R54" s="377"/>
      <c r="S54" s="388" t="n">
        <f aca="false">IF(AND($C54="Yes",$D54="Yes"),1,0)</f>
        <v>0</v>
      </c>
      <c r="T54" s="387" t="n">
        <f aca="false">$S54*IF($J54&lt;&gt;"",$J54,$F54*IF($I54&lt;&gt;"",$I54,$C$4)/(1+IF($I54&lt;&gt;"",$I54,$C$4)))</f>
        <v>0</v>
      </c>
      <c r="U54" s="387" t="n">
        <f aca="false">$S54*IF($L54&lt;&gt;"",$L54,$F54*$C$5)</f>
        <v>0</v>
      </c>
      <c r="V54" s="387" t="n">
        <f aca="false">$S54*$F54*IF($N54&lt;&gt;"",$N54,$C$6)</f>
        <v>0</v>
      </c>
      <c r="W54" s="387" t="n">
        <f aca="false">MAX(0,$V54-$U54)</f>
        <v>0</v>
      </c>
      <c r="X54" s="388" t="n">
        <f aca="false">IF($B54&lt;&gt;"",$B54,100+$H54)</f>
        <v>100</v>
      </c>
      <c r="Y54" s="387" t="n">
        <f aca="false">$S54*MAX(0,MIN($W54,$C$7-SUMIFS($W$11:$W$54,$X$11:$X$54,"&lt;"&amp;$X54)))</f>
        <v>0</v>
      </c>
      <c r="Z54" s="387" t="n">
        <f aca="false">$W54-$Y54</f>
        <v>0</v>
      </c>
      <c r="AA54" s="389" t="n">
        <f aca="false">$S54*($T54-$U54-$Z54)</f>
        <v>0</v>
      </c>
      <c r="AB54" s="389" t="n">
        <f aca="false">$S54*($T54-$U54)</f>
        <v>0</v>
      </c>
      <c r="AC54" s="387" t="n">
        <f aca="false">IF(AND($S54=1,$H54&lt;=$C$8),$Z54-N($O54),0)</f>
        <v>0</v>
      </c>
      <c r="AD54" s="390"/>
    </row>
    <row r="56" customFormat="false" ht="15.75" hidden="false" customHeight="true" outlineLevel="0" collapsed="false">
      <c r="A56" s="391" t="s">
        <v>489</v>
      </c>
      <c r="B56" s="392"/>
      <c r="C56" s="392"/>
      <c r="D56" s="392"/>
      <c r="E56" s="392"/>
      <c r="F56" s="392"/>
      <c r="G56" s="392"/>
      <c r="H56" s="392"/>
      <c r="I56" s="392"/>
      <c r="J56" s="392"/>
      <c r="K56" s="392"/>
      <c r="L56" s="392"/>
      <c r="M56" s="392"/>
      <c r="N56" s="392"/>
      <c r="O56" s="392"/>
      <c r="P56" s="392"/>
      <c r="Q56" s="392"/>
      <c r="R56" s="392"/>
      <c r="S56" s="392"/>
      <c r="T56" s="392" t="n">
        <f aca="false">SUM(T11:T54)</f>
        <v>2882015.6654902</v>
      </c>
      <c r="U56" s="392" t="n">
        <f aca="false">SUM(U11:U54)</f>
        <v>1207806.52300073</v>
      </c>
      <c r="V56" s="392" t="n">
        <f aca="false">SUM(V11:V54)</f>
        <v>5402739.39725</v>
      </c>
      <c r="W56" s="392" t="n">
        <f aca="false">SUM(W11:W54)</f>
        <v>4194932.87424927</v>
      </c>
      <c r="X56" s="392"/>
      <c r="Y56" s="392" t="n">
        <f aca="false">SUM(Y11:Y54)</f>
        <v>1800000</v>
      </c>
      <c r="Z56" s="393" t="n">
        <f aca="false">SUM(Z11:Z54)</f>
        <v>2394932.87424927</v>
      </c>
      <c r="AA56" s="393" t="n">
        <f aca="false">SUM(AA11:AA54)</f>
        <v>-720723.731759804</v>
      </c>
      <c r="AB56" s="393" t="n">
        <f aca="false">SUM(AB11:AB54)</f>
        <v>1674209.14248946</v>
      </c>
      <c r="AC56" s="393" t="n">
        <f aca="false">SUM(AC11:AC54)</f>
        <v>0.00512500014156103</v>
      </c>
      <c r="AD56" s="392"/>
    </row>
    <row r="57" customFormat="false" ht="15" hidden="false" customHeight="true" outlineLevel="0" collapsed="false">
      <c r="A57" s="118" t="s">
        <v>1313</v>
      </c>
      <c r="C57" s="394" t="str">
        <f aca="false">IF(Y56&lt;=$C$7+0.5,"OK","OVER CAP")</f>
        <v>OK</v>
      </c>
      <c r="D57" s="369" t="s">
        <v>1314</v>
      </c>
    </row>
    <row r="58" customFormat="false" ht="15" hidden="false" customHeight="true" outlineLevel="0" collapsed="false">
      <c r="A58" s="118" t="s">
        <v>1313</v>
      </c>
      <c r="C58" s="394" t="str">
        <f aca="false">IF(ABS(SUM(Model!$B$150:$DE$150)-SUMPRODUCT((H11:H54&gt;=-2)*(H11:H54&lt;=105)*T11:T54))&lt;1,"OK","CHECK")</f>
        <v>OK</v>
      </c>
      <c r="D58" s="369" t="s">
        <v>1315</v>
      </c>
    </row>
    <row r="60" customFormat="false" ht="15" hidden="false" customHeight="true" outlineLevel="0" collapsed="false">
      <c r="A60" s="153" t="s">
        <v>1316</v>
      </c>
    </row>
    <row r="61" customFormat="false" ht="15" hidden="false" customHeight="true" outlineLevel="0" collapsed="false">
      <c r="A61" s="369" t="s">
        <v>1317</v>
      </c>
    </row>
    <row r="62" customFormat="false" ht="15" hidden="false" customHeight="true" outlineLevel="0" collapsed="false">
      <c r="A62" s="369" t="s">
        <v>1318</v>
      </c>
    </row>
    <row r="63" customFormat="false" ht="15" hidden="false" customHeight="true" outlineLevel="0" collapsed="false">
      <c r="A63" s="369" t="s">
        <v>1319</v>
      </c>
    </row>
    <row r="64" customFormat="false" ht="15" hidden="false" customHeight="true" outlineLevel="0" collapsed="false">
      <c r="A64" s="369" t="s">
        <v>1320</v>
      </c>
    </row>
    <row r="65" customFormat="false" ht="15" hidden="false" customHeight="true" outlineLevel="0" collapsed="false">
      <c r="A65" s="369" t="s">
        <v>1321</v>
      </c>
    </row>
    <row r="66" customFormat="false" ht="15" hidden="false" customHeight="true" outlineLevel="0" collapsed="false">
      <c r="A66" s="369" t="s">
        <v>1322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95" t="s">
        <v>1323</v>
      </c>
    </row>
    <row r="3" customFormat="false" ht="15" hidden="false" customHeight="true" outlineLevel="0" collapsed="false">
      <c r="B3" s="396" t="s">
        <v>1324</v>
      </c>
    </row>
    <row r="5" customFormat="false" ht="15" hidden="false" customHeight="true" outlineLevel="0" collapsed="false">
      <c r="B5" s="397" t="s">
        <v>1325</v>
      </c>
      <c r="C5" s="398" t="s">
        <v>1326</v>
      </c>
    </row>
    <row r="6" customFormat="false" ht="24.75" hidden="false" customHeight="true" outlineLevel="0" collapsed="false">
      <c r="B6" s="397" t="s">
        <v>1327</v>
      </c>
      <c r="C6" s="398" t="s">
        <v>1328</v>
      </c>
    </row>
    <row r="7" customFormat="false" ht="24.75" hidden="false" customHeight="true" outlineLevel="0" collapsed="false">
      <c r="B7" s="397" t="s">
        <v>1329</v>
      </c>
      <c r="C7" s="398" t="s">
        <v>1330</v>
      </c>
    </row>
    <row r="8" customFormat="false" ht="24.75" hidden="false" customHeight="true" outlineLevel="0" collapsed="false">
      <c r="B8" s="397" t="s">
        <v>1331</v>
      </c>
      <c r="C8" s="398" t="s">
        <v>1332</v>
      </c>
    </row>
    <row r="9" customFormat="false" ht="15" hidden="false" customHeight="true" outlineLevel="0" collapsed="false">
      <c r="B9" s="397" t="s">
        <v>1333</v>
      </c>
      <c r="C9" s="398" t="s">
        <v>1334</v>
      </c>
    </row>
    <row r="10" customFormat="false" ht="15" hidden="false" customHeight="true" outlineLevel="0" collapsed="false">
      <c r="B10" s="397" t="s">
        <v>1335</v>
      </c>
      <c r="C10" s="398" t="s">
        <v>1336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145" t="s">
        <v>1337</v>
      </c>
    </row>
    <row r="2" customFormat="false" ht="15" hidden="false" customHeight="true" outlineLevel="0" collapsed="false">
      <c r="A2" s="399" t="s">
        <v>1338</v>
      </c>
    </row>
    <row r="3" customFormat="false" ht="15" hidden="false" customHeight="true" outlineLevel="0" collapsed="false">
      <c r="A3" s="400" t="s">
        <v>1339</v>
      </c>
      <c r="B3" s="401" t="s">
        <v>612</v>
      </c>
    </row>
    <row r="5" customFormat="false" ht="15" hidden="false" customHeight="true" outlineLevel="0" collapsed="false">
      <c r="A5" s="402" t="s">
        <v>1340</v>
      </c>
      <c r="B5" s="402" t="s">
        <v>1341</v>
      </c>
      <c r="C5" s="402" t="s">
        <v>657</v>
      </c>
    </row>
    <row r="6" customFormat="false" ht="15" hidden="false" customHeight="true" outlineLevel="0" collapsed="false">
      <c r="A6" s="403" t="s">
        <v>1342</v>
      </c>
      <c r="B6" s="404" t="n">
        <v>46204</v>
      </c>
      <c r="C6" s="405" t="s">
        <v>1343</v>
      </c>
    </row>
    <row r="7" customFormat="false" ht="15" hidden="false" customHeight="true" outlineLevel="0" collapsed="false">
      <c r="A7" s="403" t="s">
        <v>1344</v>
      </c>
      <c r="B7" s="406" t="n">
        <v>150000</v>
      </c>
      <c r="C7" s="405" t="s">
        <v>1345</v>
      </c>
    </row>
    <row r="8" customFormat="false" ht="15" hidden="false" customHeight="true" outlineLevel="0" collapsed="false">
      <c r="A8" s="403" t="s">
        <v>1346</v>
      </c>
      <c r="B8" s="406" t="n">
        <v>225000</v>
      </c>
      <c r="C8" s="405" t="s">
        <v>1347</v>
      </c>
    </row>
    <row r="9" customFormat="false" ht="15" hidden="false" customHeight="true" outlineLevel="0" collapsed="false">
      <c r="A9" s="403" t="s">
        <v>1348</v>
      </c>
      <c r="B9" s="407" t="n">
        <v>72686</v>
      </c>
      <c r="C9" s="405" t="s">
        <v>1349</v>
      </c>
    </row>
    <row r="10" customFormat="false" ht="15" hidden="false" customHeight="true" outlineLevel="0" collapsed="false">
      <c r="A10" s="403" t="s">
        <v>1350</v>
      </c>
      <c r="B10" s="406" t="n">
        <v>25000</v>
      </c>
      <c r="C10" s="405" t="s">
        <v>1351</v>
      </c>
    </row>
    <row r="11" customFormat="false" ht="15" hidden="false" customHeight="true" outlineLevel="0" collapsed="false">
      <c r="A11" s="403" t="s">
        <v>1352</v>
      </c>
      <c r="B11" s="408" t="n">
        <v>0.03</v>
      </c>
      <c r="C11" s="405" t="s">
        <v>1353</v>
      </c>
    </row>
    <row r="12" customFormat="false" ht="15" hidden="false" customHeight="true" outlineLevel="0" collapsed="false">
      <c r="A12" s="403" t="s">
        <v>1354</v>
      </c>
      <c r="B12" s="408" t="n">
        <v>0.03</v>
      </c>
      <c r="C12" s="405" t="s">
        <v>1355</v>
      </c>
    </row>
    <row r="13" customFormat="false" ht="15" hidden="false" customHeight="true" outlineLevel="0" collapsed="false">
      <c r="A13" s="403" t="s">
        <v>1356</v>
      </c>
      <c r="B13" s="408" t="n">
        <v>0.5</v>
      </c>
      <c r="C13" s="405" t="s">
        <v>1357</v>
      </c>
    </row>
    <row r="14" customFormat="false" ht="15" hidden="false" customHeight="true" outlineLevel="0" collapsed="false">
      <c r="A14" s="403" t="s">
        <v>1358</v>
      </c>
      <c r="B14" s="408" t="n">
        <v>0.5</v>
      </c>
      <c r="C14" s="405" t="s">
        <v>1359</v>
      </c>
    </row>
    <row r="15" customFormat="false" ht="15" hidden="false" customHeight="true" outlineLevel="0" collapsed="false">
      <c r="A15" s="403" t="s">
        <v>1360</v>
      </c>
      <c r="B15" s="408" t="n">
        <v>0.21</v>
      </c>
      <c r="C15" s="405" t="s">
        <v>1361</v>
      </c>
    </row>
    <row r="16" customFormat="false" ht="15" hidden="false" customHeight="true" outlineLevel="0" collapsed="false">
      <c r="A16" s="403" t="s">
        <v>1362</v>
      </c>
      <c r="B16" s="409" t="n">
        <v>0.0884</v>
      </c>
      <c r="C16" s="405" t="s">
        <v>1363</v>
      </c>
    </row>
    <row r="17" customFormat="false" ht="15" hidden="false" customHeight="true" outlineLevel="0" collapsed="false">
      <c r="A17" s="403" t="s">
        <v>1364</v>
      </c>
      <c r="B17" s="406" t="n">
        <v>800</v>
      </c>
      <c r="C17" s="405" t="s">
        <v>1365</v>
      </c>
    </row>
    <row r="18" customFormat="false" ht="15" hidden="false" customHeight="true" outlineLevel="0" collapsed="false">
      <c r="A18" s="403" t="s">
        <v>1366</v>
      </c>
      <c r="B18" s="410" t="n">
        <v>3</v>
      </c>
      <c r="C18" s="405" t="s">
        <v>1367</v>
      </c>
    </row>
    <row r="20" customFormat="false" ht="15" hidden="false" customHeight="true" outlineLevel="0" collapsed="false">
      <c r="A20" s="402" t="s">
        <v>1368</v>
      </c>
    </row>
    <row r="21" customFormat="false" ht="36.75" hidden="false" customHeight="true" outlineLevel="0" collapsed="false">
      <c r="A21" s="186" t="s">
        <v>1369</v>
      </c>
      <c r="B21" s="186" t="s">
        <v>655</v>
      </c>
      <c r="C21" s="186" t="s">
        <v>1370</v>
      </c>
      <c r="D21" s="186" t="s">
        <v>1371</v>
      </c>
      <c r="E21" s="186" t="s">
        <v>1372</v>
      </c>
      <c r="F21" s="186" t="s">
        <v>1373</v>
      </c>
      <c r="G21" s="186" t="s">
        <v>1374</v>
      </c>
      <c r="H21" s="186" t="s">
        <v>1375</v>
      </c>
      <c r="I21" s="186" t="s">
        <v>1376</v>
      </c>
      <c r="J21" s="186" t="s">
        <v>1377</v>
      </c>
      <c r="K21" s="186" t="s">
        <v>1378</v>
      </c>
    </row>
    <row r="22" customFormat="false" ht="15" hidden="false" customHeight="true" outlineLevel="0" collapsed="false">
      <c r="A22" s="411" t="s">
        <v>18</v>
      </c>
      <c r="B22" s="403" t="s">
        <v>1379</v>
      </c>
      <c r="C22" s="404" t="n">
        <v>46204</v>
      </c>
      <c r="D22" s="410" t="n">
        <v>11</v>
      </c>
      <c r="E22" s="406" t="n">
        <v>110000</v>
      </c>
      <c r="F22" s="412"/>
      <c r="G22" s="406" t="n">
        <v>6666.66</v>
      </c>
      <c r="H22" s="410" t="n">
        <v>7</v>
      </c>
      <c r="I22" s="413" t="n">
        <v>1</v>
      </c>
      <c r="J22" s="414" t="n">
        <f aca="false">IF(N(D22)&gt;0,N(E22)/D22,0)+N(F22)</f>
        <v>10000</v>
      </c>
      <c r="K22" s="415" t="n">
        <f aca="false">(J22*N(D22)+N(G22))*IF(I22="",1,I22)</f>
        <v>116666.66</v>
      </c>
    </row>
    <row r="23" customFormat="false" ht="15" hidden="false" customHeight="true" outlineLevel="0" collapsed="false">
      <c r="A23" s="411" t="s">
        <v>12</v>
      </c>
      <c r="B23" s="403" t="s">
        <v>1379</v>
      </c>
      <c r="C23" s="404" t="n">
        <v>46235</v>
      </c>
      <c r="D23" s="410" t="n">
        <v>24</v>
      </c>
      <c r="E23" s="406"/>
      <c r="F23" s="412" t="n">
        <v>4166.66</v>
      </c>
      <c r="G23" s="406"/>
      <c r="H23" s="410"/>
      <c r="I23" s="413" t="n">
        <v>1</v>
      </c>
      <c r="J23" s="414" t="n">
        <f aca="false">IF(N(D23)&gt;0,N(E23)/D23,0)+N(F23)</f>
        <v>4166.66</v>
      </c>
      <c r="K23" s="415" t="n">
        <f aca="false">(J23*N(D23)+N(G23))*IF(I23="",1,I23)</f>
        <v>99999.84</v>
      </c>
    </row>
    <row r="24" customFormat="false" ht="15" hidden="false" customHeight="true" outlineLevel="0" collapsed="false">
      <c r="A24" s="411" t="s">
        <v>8</v>
      </c>
      <c r="B24" s="403" t="s">
        <v>1379</v>
      </c>
      <c r="C24" s="404" t="n">
        <v>46266</v>
      </c>
      <c r="D24" s="410" t="n">
        <v>12</v>
      </c>
      <c r="E24" s="406"/>
      <c r="F24" s="412" t="n">
        <v>3332.72</v>
      </c>
      <c r="G24" s="406"/>
      <c r="H24" s="410"/>
      <c r="I24" s="413" t="n">
        <v>1</v>
      </c>
      <c r="J24" s="414" t="n">
        <f aca="false">IF(N(D24)&gt;0,N(E24)/D24,0)+N(F24)</f>
        <v>3332.72</v>
      </c>
      <c r="K24" s="415" t="n">
        <f aca="false">(J24*N(D24)+N(G24))*IF(I24="",1,I24)</f>
        <v>39992.64</v>
      </c>
    </row>
    <row r="25" customFormat="false" ht="15" hidden="false" customHeight="true" outlineLevel="0" collapsed="false">
      <c r="A25" s="411" t="s">
        <v>1380</v>
      </c>
      <c r="B25" s="403" t="s">
        <v>1379</v>
      </c>
      <c r="C25" s="404" t="n">
        <v>46357</v>
      </c>
      <c r="D25" s="410" t="n">
        <v>2</v>
      </c>
      <c r="E25" s="406"/>
      <c r="F25" s="412" t="n">
        <v>9750</v>
      </c>
      <c r="G25" s="406"/>
      <c r="H25" s="410"/>
      <c r="I25" s="413" t="n">
        <v>1</v>
      </c>
      <c r="J25" s="414" t="n">
        <f aca="false">IF(N(D25)&gt;0,N(E25)/D25,0)+N(F25)</f>
        <v>9750</v>
      </c>
      <c r="K25" s="415" t="n">
        <f aca="false">(J25*N(D25)+N(G25))*IF(I25="",1,I25)</f>
        <v>19500</v>
      </c>
    </row>
    <row r="26" customFormat="false" ht="15" hidden="false" customHeight="true" outlineLevel="0" collapsed="false">
      <c r="A26" s="416" t="s">
        <v>1381</v>
      </c>
      <c r="B26" s="403" t="s">
        <v>1379</v>
      </c>
      <c r="C26" s="404" t="n">
        <v>46539</v>
      </c>
      <c r="D26" s="410" t="n">
        <v>13</v>
      </c>
      <c r="E26" s="406"/>
      <c r="F26" s="412" t="n">
        <v>4166</v>
      </c>
      <c r="G26" s="406"/>
      <c r="H26" s="410"/>
      <c r="I26" s="413" t="n">
        <v>1</v>
      </c>
      <c r="J26" s="414" t="n">
        <f aca="false">IF(N(D26)&gt;0,N(E26)/D26,0)+N(F26)</f>
        <v>4166</v>
      </c>
      <c r="K26" s="415" t="n">
        <f aca="false">(J26*N(D26)+N(G26))*IF(I26="",1,I26)</f>
        <v>54158</v>
      </c>
    </row>
    <row r="27" customFormat="false" ht="15" hidden="false" customHeight="true" outlineLevel="0" collapsed="false">
      <c r="A27" s="416" t="s">
        <v>1382</v>
      </c>
      <c r="B27" s="403" t="s">
        <v>1383</v>
      </c>
      <c r="C27" s="404"/>
      <c r="D27" s="410"/>
      <c r="E27" s="406"/>
      <c r="F27" s="412"/>
      <c r="G27" s="406"/>
      <c r="H27" s="410"/>
      <c r="I27" s="413"/>
      <c r="J27" s="414" t="n">
        <f aca="false">IF(N(D27)&gt;0,N(E27)/D27,0)+N(F27)</f>
        <v>0</v>
      </c>
      <c r="K27" s="415" t="n">
        <f aca="false">(J27*N(D27)+N(G27))*IF(I27="",1,I27)</f>
        <v>0</v>
      </c>
    </row>
    <row r="28" customFormat="false" ht="15" hidden="false" customHeight="true" outlineLevel="0" collapsed="false">
      <c r="A28" s="416" t="s">
        <v>1384</v>
      </c>
      <c r="B28" s="403" t="s">
        <v>1383</v>
      </c>
      <c r="C28" s="404"/>
      <c r="D28" s="410"/>
      <c r="E28" s="406"/>
      <c r="F28" s="412"/>
      <c r="G28" s="406"/>
      <c r="H28" s="410"/>
      <c r="I28" s="413"/>
      <c r="J28" s="414" t="n">
        <f aca="false">IF(N(D28)&gt;0,N(E28)/D28,0)+N(F28)</f>
        <v>0</v>
      </c>
      <c r="K28" s="415" t="n">
        <f aca="false">(J28*N(D28)+N(G28))*IF(I28="",1,I28)</f>
        <v>0</v>
      </c>
    </row>
    <row r="29" customFormat="false" ht="15" hidden="false" customHeight="true" outlineLevel="0" collapsed="false">
      <c r="A29" s="416" t="s">
        <v>1385</v>
      </c>
      <c r="B29" s="403" t="s">
        <v>1383</v>
      </c>
      <c r="C29" s="404"/>
      <c r="D29" s="410"/>
      <c r="E29" s="406"/>
      <c r="F29" s="412"/>
      <c r="G29" s="406"/>
      <c r="H29" s="410"/>
      <c r="I29" s="413"/>
      <c r="J29" s="414" t="n">
        <f aca="false">IF(N(D29)&gt;0,N(E29)/D29,0)+N(F29)</f>
        <v>0</v>
      </c>
      <c r="K29" s="415" t="n">
        <f aca="false">(J29*N(D29)+N(G29))*IF(I29="",1,I29)</f>
        <v>0</v>
      </c>
    </row>
    <row r="30" customFormat="false" ht="15" hidden="false" customHeight="true" outlineLevel="0" collapsed="false">
      <c r="A30" s="416" t="s">
        <v>1386</v>
      </c>
      <c r="B30" s="403" t="s">
        <v>1383</v>
      </c>
      <c r="C30" s="404"/>
      <c r="D30" s="410"/>
      <c r="E30" s="406"/>
      <c r="F30" s="412"/>
      <c r="G30" s="406"/>
      <c r="H30" s="410"/>
      <c r="I30" s="413"/>
      <c r="J30" s="414" t="n">
        <f aca="false">IF(N(D30)&gt;0,N(E30)/D30,0)+N(F30)</f>
        <v>0</v>
      </c>
      <c r="K30" s="415" t="n">
        <f aca="false">(J30*N(D30)+N(G30))*IF(I30="",1,I30)</f>
        <v>0</v>
      </c>
    </row>
    <row r="31" customFormat="false" ht="15" hidden="false" customHeight="true" outlineLevel="0" collapsed="false">
      <c r="A31" s="416" t="s">
        <v>1387</v>
      </c>
      <c r="B31" s="403" t="s">
        <v>1383</v>
      </c>
      <c r="C31" s="404"/>
      <c r="D31" s="410"/>
      <c r="E31" s="406"/>
      <c r="F31" s="412"/>
      <c r="G31" s="406"/>
      <c r="H31" s="410"/>
      <c r="I31" s="413"/>
      <c r="J31" s="414" t="n">
        <f aca="false">IF(N(D31)&gt;0,N(E31)/D31,0)+N(F31)</f>
        <v>0</v>
      </c>
      <c r="K31" s="415" t="n">
        <f aca="false">(J31*N(D31)+N(G31))*IF(I31="",1,I31)</f>
        <v>0</v>
      </c>
    </row>
    <row r="32" customFormat="false" ht="15" hidden="false" customHeight="true" outlineLevel="0" collapsed="false">
      <c r="A32" s="153" t="s">
        <v>1388</v>
      </c>
      <c r="K32" s="417"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145" t="s">
        <v>1389</v>
      </c>
    </row>
    <row r="2" customFormat="false" ht="15" hidden="false" customHeight="true" outlineLevel="0" collapsed="false">
      <c r="A2" s="399" t="s">
        <v>1390</v>
      </c>
    </row>
    <row r="4" customFormat="false" ht="15" hidden="false" customHeight="true" outlineLevel="0" collapsed="false">
      <c r="A4" s="1" t="s">
        <v>1065</v>
      </c>
      <c r="B4" s="418" t="n">
        <f aca="false">DATE(2026,1,1)</f>
        <v>46023</v>
      </c>
      <c r="C4" s="418" t="n">
        <f aca="false">DATE(2026,2,1)</f>
        <v>46054</v>
      </c>
      <c r="D4" s="418" t="n">
        <f aca="false">DATE(2026,3,1)</f>
        <v>46082</v>
      </c>
      <c r="E4" s="418" t="n">
        <f aca="false">DATE(2026,4,1)</f>
        <v>46113</v>
      </c>
      <c r="F4" s="418" t="n">
        <f aca="false">DATE(2026,5,1)</f>
        <v>46143</v>
      </c>
      <c r="G4" s="418" t="n">
        <f aca="false">DATE(2026,6,1)</f>
        <v>46174</v>
      </c>
      <c r="H4" s="418" t="n">
        <f aca="false">DATE(2026,7,1)</f>
        <v>46204</v>
      </c>
      <c r="I4" s="418" t="n">
        <f aca="false">DATE(2026,8,1)</f>
        <v>46235</v>
      </c>
      <c r="J4" s="418" t="n">
        <f aca="false">DATE(2026,9,1)</f>
        <v>46266</v>
      </c>
      <c r="K4" s="418" t="n">
        <f aca="false">DATE(2026,10,1)</f>
        <v>46296</v>
      </c>
      <c r="L4" s="418" t="n">
        <f aca="false">DATE(2026,11,1)</f>
        <v>46327</v>
      </c>
      <c r="M4" s="418" t="n">
        <f aca="false">DATE(2026,12,1)</f>
        <v>46357</v>
      </c>
      <c r="N4" s="418" t="n">
        <f aca="false">DATE(2026,13,1)</f>
        <v>46388</v>
      </c>
      <c r="O4" s="418" t="n">
        <f aca="false">DATE(2026,14,1)</f>
        <v>46419</v>
      </c>
      <c r="P4" s="418" t="n">
        <f aca="false">DATE(2026,15,1)</f>
        <v>46447</v>
      </c>
      <c r="Q4" s="418" t="n">
        <f aca="false">DATE(2026,16,1)</f>
        <v>46478</v>
      </c>
      <c r="R4" s="418" t="n">
        <f aca="false">DATE(2026,17,1)</f>
        <v>46508</v>
      </c>
      <c r="S4" s="418" t="n">
        <f aca="false">DATE(2026,18,1)</f>
        <v>46539</v>
      </c>
      <c r="T4" s="418" t="n">
        <f aca="false">DATE(2026,19,1)</f>
        <v>46569</v>
      </c>
      <c r="U4" s="418" t="n">
        <f aca="false">DATE(2026,20,1)</f>
        <v>46600</v>
      </c>
      <c r="V4" s="418" t="n">
        <f aca="false">DATE(2026,21,1)</f>
        <v>46631</v>
      </c>
      <c r="W4" s="418" t="n">
        <f aca="false">DATE(2026,22,1)</f>
        <v>46661</v>
      </c>
      <c r="X4" s="418" t="n">
        <f aca="false">DATE(2026,23,1)</f>
        <v>46692</v>
      </c>
      <c r="Y4" s="418" t="n">
        <f aca="false">DATE(2026,24,1)</f>
        <v>46722</v>
      </c>
      <c r="Z4" s="418" t="n">
        <f aca="false">DATE(2026,25,1)</f>
        <v>46753</v>
      </c>
      <c r="AA4" s="418" t="n">
        <f aca="false">DATE(2026,26,1)</f>
        <v>46784</v>
      </c>
      <c r="AB4" s="418" t="n">
        <f aca="false">DATE(2026,27,1)</f>
        <v>46813</v>
      </c>
      <c r="AC4" s="418" t="n">
        <f aca="false">DATE(2026,28,1)</f>
        <v>46844</v>
      </c>
      <c r="AD4" s="418" t="n">
        <f aca="false">DATE(2026,29,1)</f>
        <v>46874</v>
      </c>
      <c r="AE4" s="418" t="n">
        <f aca="false">DATE(2026,30,1)</f>
        <v>46905</v>
      </c>
      <c r="AF4" s="418" t="n">
        <f aca="false">DATE(2026,31,1)</f>
        <v>46935</v>
      </c>
      <c r="AG4" s="418" t="n">
        <f aca="false">DATE(2026,32,1)</f>
        <v>46966</v>
      </c>
      <c r="AH4" s="418" t="n">
        <f aca="false">DATE(2026,33,1)</f>
        <v>46997</v>
      </c>
      <c r="AI4" s="418" t="n">
        <f aca="false">DATE(2026,34,1)</f>
        <v>47027</v>
      </c>
      <c r="AJ4" s="418" t="n">
        <f aca="false">DATE(2026,35,1)</f>
        <v>47058</v>
      </c>
      <c r="AK4" s="418" t="n">
        <f aca="false">DATE(2026,36,1)</f>
        <v>47088</v>
      </c>
      <c r="AL4" s="418" t="n">
        <f aca="false">DATE(2026,37,1)</f>
        <v>47119</v>
      </c>
      <c r="AM4" s="418" t="n">
        <f aca="false">DATE(2026,38,1)</f>
        <v>47150</v>
      </c>
      <c r="AN4" s="418" t="n">
        <f aca="false">DATE(2026,39,1)</f>
        <v>47178</v>
      </c>
      <c r="AO4" s="418" t="n">
        <f aca="false">DATE(2026,40,1)</f>
        <v>47209</v>
      </c>
      <c r="AP4" s="418" t="n">
        <f aca="false">DATE(2026,41,1)</f>
        <v>47239</v>
      </c>
      <c r="AQ4" s="418" t="n">
        <f aca="false">DATE(2026,42,1)</f>
        <v>47270</v>
      </c>
      <c r="AR4" s="418" t="n">
        <f aca="false">DATE(2026,43,1)</f>
        <v>47300</v>
      </c>
      <c r="AS4" s="418" t="n">
        <f aca="false">DATE(2026,44,1)</f>
        <v>47331</v>
      </c>
      <c r="AT4" s="418" t="n">
        <f aca="false">DATE(2026,45,1)</f>
        <v>47362</v>
      </c>
      <c r="AU4" s="418" t="n">
        <f aca="false">DATE(2026,46,1)</f>
        <v>47392</v>
      </c>
      <c r="AV4" s="418" t="n">
        <f aca="false">DATE(2026,47,1)</f>
        <v>47423</v>
      </c>
      <c r="AW4" s="418" t="n">
        <f aca="false">DATE(2026,48,1)</f>
        <v>47453</v>
      </c>
      <c r="AX4" s="418" t="n">
        <f aca="false">DATE(2026,49,1)</f>
        <v>47484</v>
      </c>
      <c r="AY4" s="418" t="n">
        <f aca="false">DATE(2026,50,1)</f>
        <v>47515</v>
      </c>
      <c r="AZ4" s="418" t="n">
        <f aca="false">DATE(2026,51,1)</f>
        <v>47543</v>
      </c>
      <c r="BA4" s="418" t="n">
        <f aca="false">DATE(2026,52,1)</f>
        <v>47574</v>
      </c>
      <c r="BB4" s="418" t="n">
        <f aca="false">DATE(2026,53,1)</f>
        <v>47604</v>
      </c>
      <c r="BC4" s="418" t="n">
        <f aca="false">DATE(2026,54,1)</f>
        <v>47635</v>
      </c>
      <c r="BD4" s="418" t="n">
        <f aca="false">DATE(2026,55,1)</f>
        <v>47665</v>
      </c>
      <c r="BE4" s="418" t="n">
        <f aca="false">DATE(2026,56,1)</f>
        <v>47696</v>
      </c>
      <c r="BF4" s="418" t="n">
        <f aca="false">DATE(2026,57,1)</f>
        <v>47727</v>
      </c>
      <c r="BG4" s="418" t="n">
        <f aca="false">DATE(2026,58,1)</f>
        <v>47757</v>
      </c>
      <c r="BH4" s="418" t="n">
        <f aca="false">DATE(2026,59,1)</f>
        <v>47788</v>
      </c>
      <c r="BI4" s="418" t="n">
        <f aca="false">DATE(2026,60,1)</f>
        <v>47818</v>
      </c>
      <c r="BJ4" s="418" t="n">
        <f aca="false">DATE(2026,61,1)</f>
        <v>47849</v>
      </c>
      <c r="BK4" s="418" t="n">
        <f aca="false">DATE(2026,62,1)</f>
        <v>47880</v>
      </c>
      <c r="BL4" s="418" t="n">
        <f aca="false">DATE(2026,63,1)</f>
        <v>47908</v>
      </c>
      <c r="BM4" s="418" t="n">
        <f aca="false">DATE(2026,64,1)</f>
        <v>47939</v>
      </c>
      <c r="BN4" s="418" t="n">
        <f aca="false">DATE(2026,65,1)</f>
        <v>47969</v>
      </c>
      <c r="BO4" s="418" t="n">
        <f aca="false">DATE(2026,66,1)</f>
        <v>48000</v>
      </c>
      <c r="BP4" s="418" t="n">
        <f aca="false">DATE(2026,67,1)</f>
        <v>48030</v>
      </c>
      <c r="BQ4" s="418" t="n">
        <f aca="false">DATE(2026,68,1)</f>
        <v>48061</v>
      </c>
      <c r="BR4" s="418" t="n">
        <f aca="false">DATE(2026,69,1)</f>
        <v>48092</v>
      </c>
      <c r="BS4" s="418" t="n">
        <f aca="false">DATE(2026,70,1)</f>
        <v>48122</v>
      </c>
      <c r="BT4" s="418" t="n">
        <f aca="false">DATE(2026,71,1)</f>
        <v>48153</v>
      </c>
      <c r="BU4" s="418" t="n">
        <f aca="false">DATE(2026,72,1)</f>
        <v>48183</v>
      </c>
      <c r="BV4" s="418" t="n">
        <f aca="false">DATE(2026,73,1)</f>
        <v>48214</v>
      </c>
      <c r="BW4" s="418" t="n">
        <f aca="false">DATE(2026,74,1)</f>
        <v>48245</v>
      </c>
      <c r="BX4" s="418" t="n">
        <f aca="false">DATE(2026,75,1)</f>
        <v>48274</v>
      </c>
      <c r="BY4" s="418" t="n">
        <f aca="false">DATE(2026,76,1)</f>
        <v>48305</v>
      </c>
      <c r="BZ4" s="418" t="n">
        <f aca="false">DATE(2026,77,1)</f>
        <v>48335</v>
      </c>
      <c r="CA4" s="418" t="n">
        <f aca="false">DATE(2026,78,1)</f>
        <v>48366</v>
      </c>
      <c r="CB4" s="418" t="n">
        <f aca="false">DATE(2026,79,1)</f>
        <v>48396</v>
      </c>
      <c r="CC4" s="418" t="n">
        <f aca="false">DATE(2026,80,1)</f>
        <v>48427</v>
      </c>
      <c r="CD4" s="418" t="n">
        <f aca="false">DATE(2026,81,1)</f>
        <v>48458</v>
      </c>
      <c r="CE4" s="418" t="n">
        <f aca="false">DATE(2026,82,1)</f>
        <v>48488</v>
      </c>
      <c r="CF4" s="418" t="n">
        <f aca="false">DATE(2026,83,1)</f>
        <v>48519</v>
      </c>
      <c r="CG4" s="418" t="n">
        <f aca="false">DATE(2026,84,1)</f>
        <v>48549</v>
      </c>
      <c r="CH4" s="418" t="n">
        <f aca="false">DATE(2026,85,1)</f>
        <v>48580</v>
      </c>
      <c r="CI4" s="418" t="n">
        <f aca="false">DATE(2026,86,1)</f>
        <v>48611</v>
      </c>
      <c r="CJ4" s="418" t="n">
        <f aca="false">DATE(2026,87,1)</f>
        <v>48639</v>
      </c>
      <c r="CK4" s="418" t="n">
        <f aca="false">DATE(2026,88,1)</f>
        <v>48670</v>
      </c>
      <c r="CL4" s="418" t="n">
        <f aca="false">DATE(2026,89,1)</f>
        <v>48700</v>
      </c>
      <c r="CM4" s="418" t="n">
        <f aca="false">DATE(2026,90,1)</f>
        <v>48731</v>
      </c>
      <c r="CN4" s="418" t="n">
        <f aca="false">DATE(2026,91,1)</f>
        <v>48761</v>
      </c>
      <c r="CO4" s="418" t="n">
        <f aca="false">DATE(2026,92,1)</f>
        <v>48792</v>
      </c>
      <c r="CP4" s="418" t="n">
        <f aca="false">DATE(2026,93,1)</f>
        <v>48823</v>
      </c>
      <c r="CQ4" s="418" t="n">
        <f aca="false">DATE(2026,94,1)</f>
        <v>48853</v>
      </c>
      <c r="CR4" s="418" t="n">
        <f aca="false">DATE(2026,95,1)</f>
        <v>48884</v>
      </c>
      <c r="CS4" s="418" t="n">
        <f aca="false">DATE(2026,96,1)</f>
        <v>48914</v>
      </c>
      <c r="CT4" s="418" t="n">
        <f aca="false">DATE(2026,97,1)</f>
        <v>48945</v>
      </c>
      <c r="CU4" s="418" t="n">
        <f aca="false">DATE(2026,98,1)</f>
        <v>48976</v>
      </c>
      <c r="CV4" s="418" t="n">
        <f aca="false">DATE(2026,99,1)</f>
        <v>49004</v>
      </c>
      <c r="CW4" s="418" t="n">
        <f aca="false">DATE(2026,100,1)</f>
        <v>49035</v>
      </c>
      <c r="CX4" s="418" t="n">
        <f aca="false">DATE(2026,101,1)</f>
        <v>49065</v>
      </c>
      <c r="CY4" s="418" t="n">
        <f aca="false">DATE(2026,102,1)</f>
        <v>49096</v>
      </c>
      <c r="CZ4" s="418" t="n">
        <f aca="false">DATE(2026,103,1)</f>
        <v>49126</v>
      </c>
      <c r="DA4" s="418" t="n">
        <f aca="false">DATE(2026,104,1)</f>
        <v>49157</v>
      </c>
      <c r="DB4" s="418" t="n">
        <f aca="false">DATE(2026,105,1)</f>
        <v>49188</v>
      </c>
      <c r="DC4" s="418" t="n">
        <f aca="false">DATE(2026,106,1)</f>
        <v>49218</v>
      </c>
      <c r="DD4" s="418" t="n">
        <f aca="false">DATE(2026,107,1)</f>
        <v>49249</v>
      </c>
      <c r="DE4" s="418" t="n">
        <f aca="false">DATE(2026,108,1)</f>
        <v>49279</v>
      </c>
    </row>
    <row r="5" customFormat="false" ht="15" hidden="false" customHeight="true" outlineLevel="0" collapsed="false">
      <c r="A5" s="1" t="s">
        <v>1391</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97" t="s">
        <v>1392</v>
      </c>
    </row>
    <row r="7" customFormat="false" ht="15" hidden="false" customHeight="true" outlineLevel="0" collapsed="false">
      <c r="A7" s="1" t="str">
        <f aca="false">'APA Inputs'!A22</f>
        <v>Reseda</v>
      </c>
      <c r="B7" s="419" t="n">
        <f aca="false">IF('APA Inputs'!$C$22="",0,(IF(AND(B$4&gt;='APA Inputs'!$C$22,B$4&lt;EDATE('APA Inputs'!$C$22,N('APA Inputs'!$D$22))),'APA Inputs'!$J$22,0)+IF(N('APA Inputs'!$H$22)&gt;0,IF(B$4=EDATE('APA Inputs'!$C$22,'APA Inputs'!$H$22-1),N('APA Inputs'!$G$22),0),0))*IF('APA Inputs'!$I$22="",1,'APA Inputs'!$I$22))</f>
        <v>0</v>
      </c>
      <c r="C7" s="419" t="n">
        <f aca="false">IF('APA Inputs'!$C$22="",0,(IF(AND(C$4&gt;='APA Inputs'!$C$22,C$4&lt;EDATE('APA Inputs'!$C$22,N('APA Inputs'!$D$22))),'APA Inputs'!$J$22,0)+IF(N('APA Inputs'!$H$22)&gt;0,IF(C$4=EDATE('APA Inputs'!$C$22,'APA Inputs'!$H$22-1),N('APA Inputs'!$G$22),0),0))*IF('APA Inputs'!$I$22="",1,'APA Inputs'!$I$22))</f>
        <v>0</v>
      </c>
      <c r="D7" s="419" t="n">
        <f aca="false">IF('APA Inputs'!$C$22="",0,(IF(AND(D$4&gt;='APA Inputs'!$C$22,D$4&lt;EDATE('APA Inputs'!$C$22,N('APA Inputs'!$D$22))),'APA Inputs'!$J$22,0)+IF(N('APA Inputs'!$H$22)&gt;0,IF(D$4=EDATE('APA Inputs'!$C$22,'APA Inputs'!$H$22-1),N('APA Inputs'!$G$22),0),0))*IF('APA Inputs'!$I$22="",1,'APA Inputs'!$I$22))</f>
        <v>0</v>
      </c>
      <c r="E7" s="419" t="n">
        <f aca="false">IF('APA Inputs'!$C$22="",0,(IF(AND(E$4&gt;='APA Inputs'!$C$22,E$4&lt;EDATE('APA Inputs'!$C$22,N('APA Inputs'!$D$22))),'APA Inputs'!$J$22,0)+IF(N('APA Inputs'!$H$22)&gt;0,IF(E$4=EDATE('APA Inputs'!$C$22,'APA Inputs'!$H$22-1),N('APA Inputs'!$G$22),0),0))*IF('APA Inputs'!$I$22="",1,'APA Inputs'!$I$22))</f>
        <v>0</v>
      </c>
      <c r="F7" s="419" t="n">
        <f aca="false">IF('APA Inputs'!$C$22="",0,(IF(AND(F$4&gt;='APA Inputs'!$C$22,F$4&lt;EDATE('APA Inputs'!$C$22,N('APA Inputs'!$D$22))),'APA Inputs'!$J$22,0)+IF(N('APA Inputs'!$H$22)&gt;0,IF(F$4=EDATE('APA Inputs'!$C$22,'APA Inputs'!$H$22-1),N('APA Inputs'!$G$22),0),0))*IF('APA Inputs'!$I$22="",1,'APA Inputs'!$I$22))</f>
        <v>0</v>
      </c>
      <c r="G7" s="419" t="n">
        <f aca="false">IF('APA Inputs'!$C$22="",0,(IF(AND(G$4&gt;='APA Inputs'!$C$22,G$4&lt;EDATE('APA Inputs'!$C$22,N('APA Inputs'!$D$22))),'APA Inputs'!$J$22,0)+IF(N('APA Inputs'!$H$22)&gt;0,IF(G$4=EDATE('APA Inputs'!$C$22,'APA Inputs'!$H$22-1),N('APA Inputs'!$G$22),0),0))*IF('APA Inputs'!$I$22="",1,'APA Inputs'!$I$22))</f>
        <v>0</v>
      </c>
      <c r="H7" s="419" t="n">
        <f aca="false">IF('APA Inputs'!$C$22="",0,(IF(AND(H$4&gt;='APA Inputs'!$C$22,H$4&lt;EDATE('APA Inputs'!$C$22,N('APA Inputs'!$D$22))),'APA Inputs'!$J$22,0)+IF(N('APA Inputs'!$H$22)&gt;0,IF(H$4=EDATE('APA Inputs'!$C$22,'APA Inputs'!$H$22-1),N('APA Inputs'!$G$22),0),0))*IF('APA Inputs'!$I$22="",1,'APA Inputs'!$I$22))</f>
        <v>10000</v>
      </c>
      <c r="I7" s="419" t="n">
        <f aca="false">IF('APA Inputs'!$C$22="",0,(IF(AND(I$4&gt;='APA Inputs'!$C$22,I$4&lt;EDATE('APA Inputs'!$C$22,N('APA Inputs'!$D$22))),'APA Inputs'!$J$22,0)+IF(N('APA Inputs'!$H$22)&gt;0,IF(I$4=EDATE('APA Inputs'!$C$22,'APA Inputs'!$H$22-1),N('APA Inputs'!$G$22),0),0))*IF('APA Inputs'!$I$22="",1,'APA Inputs'!$I$22))</f>
        <v>10000</v>
      </c>
      <c r="J7" s="419" t="n">
        <f aca="false">IF('APA Inputs'!$C$22="",0,(IF(AND(J$4&gt;='APA Inputs'!$C$22,J$4&lt;EDATE('APA Inputs'!$C$22,N('APA Inputs'!$D$22))),'APA Inputs'!$J$22,0)+IF(N('APA Inputs'!$H$22)&gt;0,IF(J$4=EDATE('APA Inputs'!$C$22,'APA Inputs'!$H$22-1),N('APA Inputs'!$G$22),0),0))*IF('APA Inputs'!$I$22="",1,'APA Inputs'!$I$22))</f>
        <v>10000</v>
      </c>
      <c r="K7" s="419" t="n">
        <f aca="false">IF('APA Inputs'!$C$22="",0,(IF(AND(K$4&gt;='APA Inputs'!$C$22,K$4&lt;EDATE('APA Inputs'!$C$22,N('APA Inputs'!$D$22))),'APA Inputs'!$J$22,0)+IF(N('APA Inputs'!$H$22)&gt;0,IF(K$4=EDATE('APA Inputs'!$C$22,'APA Inputs'!$H$22-1),N('APA Inputs'!$G$22),0),0))*IF('APA Inputs'!$I$22="",1,'APA Inputs'!$I$22))</f>
        <v>10000</v>
      </c>
      <c r="L7" s="419" t="n">
        <f aca="false">IF('APA Inputs'!$C$22="",0,(IF(AND(L$4&gt;='APA Inputs'!$C$22,L$4&lt;EDATE('APA Inputs'!$C$22,N('APA Inputs'!$D$22))),'APA Inputs'!$J$22,0)+IF(N('APA Inputs'!$H$22)&gt;0,IF(L$4=EDATE('APA Inputs'!$C$22,'APA Inputs'!$H$22-1),N('APA Inputs'!$G$22),0),0))*IF('APA Inputs'!$I$22="",1,'APA Inputs'!$I$22))</f>
        <v>10000</v>
      </c>
      <c r="M7" s="419" t="n">
        <f aca="false">IF('APA Inputs'!$C$22="",0,(IF(AND(M$4&gt;='APA Inputs'!$C$22,M$4&lt;EDATE('APA Inputs'!$C$22,N('APA Inputs'!$D$22))),'APA Inputs'!$J$22,0)+IF(N('APA Inputs'!$H$22)&gt;0,IF(M$4=EDATE('APA Inputs'!$C$22,'APA Inputs'!$H$22-1),N('APA Inputs'!$G$22),0),0))*IF('APA Inputs'!$I$22="",1,'APA Inputs'!$I$22))</f>
        <v>10000</v>
      </c>
      <c r="N7" s="419" t="n">
        <f aca="false">IF('APA Inputs'!$C$22="",0,(IF(AND(N$4&gt;='APA Inputs'!$C$22,N$4&lt;EDATE('APA Inputs'!$C$22,N('APA Inputs'!$D$22))),'APA Inputs'!$J$22,0)+IF(N('APA Inputs'!$H$22)&gt;0,IF(N$4=EDATE('APA Inputs'!$C$22,'APA Inputs'!$H$22-1),N('APA Inputs'!$G$22),0),0))*IF('APA Inputs'!$I$22="",1,'APA Inputs'!$I$22))</f>
        <v>16666.66</v>
      </c>
      <c r="O7" s="419" t="n">
        <f aca="false">IF('APA Inputs'!$C$22="",0,(IF(AND(O$4&gt;='APA Inputs'!$C$22,O$4&lt;EDATE('APA Inputs'!$C$22,N('APA Inputs'!$D$22))),'APA Inputs'!$J$22,0)+IF(N('APA Inputs'!$H$22)&gt;0,IF(O$4=EDATE('APA Inputs'!$C$22,'APA Inputs'!$H$22-1),N('APA Inputs'!$G$22),0),0))*IF('APA Inputs'!$I$22="",1,'APA Inputs'!$I$22))</f>
        <v>10000</v>
      </c>
      <c r="P7" s="419" t="n">
        <f aca="false">IF('APA Inputs'!$C$22="",0,(IF(AND(P$4&gt;='APA Inputs'!$C$22,P$4&lt;EDATE('APA Inputs'!$C$22,N('APA Inputs'!$D$22))),'APA Inputs'!$J$22,0)+IF(N('APA Inputs'!$H$22)&gt;0,IF(P$4=EDATE('APA Inputs'!$C$22,'APA Inputs'!$H$22-1),N('APA Inputs'!$G$22),0),0))*IF('APA Inputs'!$I$22="",1,'APA Inputs'!$I$22))</f>
        <v>10000</v>
      </c>
      <c r="Q7" s="419" t="n">
        <f aca="false">IF('APA Inputs'!$C$22="",0,(IF(AND(Q$4&gt;='APA Inputs'!$C$22,Q$4&lt;EDATE('APA Inputs'!$C$22,N('APA Inputs'!$D$22))),'APA Inputs'!$J$22,0)+IF(N('APA Inputs'!$H$22)&gt;0,IF(Q$4=EDATE('APA Inputs'!$C$22,'APA Inputs'!$H$22-1),N('APA Inputs'!$G$22),0),0))*IF('APA Inputs'!$I$22="",1,'APA Inputs'!$I$22))</f>
        <v>10000</v>
      </c>
      <c r="R7" s="419" t="n">
        <f aca="false">IF('APA Inputs'!$C$22="",0,(IF(AND(R$4&gt;='APA Inputs'!$C$22,R$4&lt;EDATE('APA Inputs'!$C$22,N('APA Inputs'!$D$22))),'APA Inputs'!$J$22,0)+IF(N('APA Inputs'!$H$22)&gt;0,IF(R$4=EDATE('APA Inputs'!$C$22,'APA Inputs'!$H$22-1),N('APA Inputs'!$G$22),0),0))*IF('APA Inputs'!$I$22="",1,'APA Inputs'!$I$22))</f>
        <v>10000</v>
      </c>
      <c r="S7" s="419" t="n">
        <f aca="false">IF('APA Inputs'!$C$22="",0,(IF(AND(S$4&gt;='APA Inputs'!$C$22,S$4&lt;EDATE('APA Inputs'!$C$22,N('APA Inputs'!$D$22))),'APA Inputs'!$J$22,0)+IF(N('APA Inputs'!$H$22)&gt;0,IF(S$4=EDATE('APA Inputs'!$C$22,'APA Inputs'!$H$22-1),N('APA Inputs'!$G$22),0),0))*IF('APA Inputs'!$I$22="",1,'APA Inputs'!$I$22))</f>
        <v>0</v>
      </c>
      <c r="T7" s="419" t="n">
        <f aca="false">IF('APA Inputs'!$C$22="",0,(IF(AND(T$4&gt;='APA Inputs'!$C$22,T$4&lt;EDATE('APA Inputs'!$C$22,N('APA Inputs'!$D$22))),'APA Inputs'!$J$22,0)+IF(N('APA Inputs'!$H$22)&gt;0,IF(T$4=EDATE('APA Inputs'!$C$22,'APA Inputs'!$H$22-1),N('APA Inputs'!$G$22),0),0))*IF('APA Inputs'!$I$22="",1,'APA Inputs'!$I$22))</f>
        <v>0</v>
      </c>
      <c r="U7" s="419" t="n">
        <f aca="false">IF('APA Inputs'!$C$22="",0,(IF(AND(U$4&gt;='APA Inputs'!$C$22,U$4&lt;EDATE('APA Inputs'!$C$22,N('APA Inputs'!$D$22))),'APA Inputs'!$J$22,0)+IF(N('APA Inputs'!$H$22)&gt;0,IF(U$4=EDATE('APA Inputs'!$C$22,'APA Inputs'!$H$22-1),N('APA Inputs'!$G$22),0),0))*IF('APA Inputs'!$I$22="",1,'APA Inputs'!$I$22))</f>
        <v>0</v>
      </c>
      <c r="V7" s="419" t="n">
        <f aca="false">IF('APA Inputs'!$C$22="",0,(IF(AND(V$4&gt;='APA Inputs'!$C$22,V$4&lt;EDATE('APA Inputs'!$C$22,N('APA Inputs'!$D$22))),'APA Inputs'!$J$22,0)+IF(N('APA Inputs'!$H$22)&gt;0,IF(V$4=EDATE('APA Inputs'!$C$22,'APA Inputs'!$H$22-1),N('APA Inputs'!$G$22),0),0))*IF('APA Inputs'!$I$22="",1,'APA Inputs'!$I$22))</f>
        <v>0</v>
      </c>
      <c r="W7" s="419" t="n">
        <f aca="false">IF('APA Inputs'!$C$22="",0,(IF(AND(W$4&gt;='APA Inputs'!$C$22,W$4&lt;EDATE('APA Inputs'!$C$22,N('APA Inputs'!$D$22))),'APA Inputs'!$J$22,0)+IF(N('APA Inputs'!$H$22)&gt;0,IF(W$4=EDATE('APA Inputs'!$C$22,'APA Inputs'!$H$22-1),N('APA Inputs'!$G$22),0),0))*IF('APA Inputs'!$I$22="",1,'APA Inputs'!$I$22))</f>
        <v>0</v>
      </c>
      <c r="X7" s="419" t="n">
        <f aca="false">IF('APA Inputs'!$C$22="",0,(IF(AND(X$4&gt;='APA Inputs'!$C$22,X$4&lt;EDATE('APA Inputs'!$C$22,N('APA Inputs'!$D$22))),'APA Inputs'!$J$22,0)+IF(N('APA Inputs'!$H$22)&gt;0,IF(X$4=EDATE('APA Inputs'!$C$22,'APA Inputs'!$H$22-1),N('APA Inputs'!$G$22),0),0))*IF('APA Inputs'!$I$22="",1,'APA Inputs'!$I$22))</f>
        <v>0</v>
      </c>
      <c r="Y7" s="419" t="n">
        <f aca="false">IF('APA Inputs'!$C$22="",0,(IF(AND(Y$4&gt;='APA Inputs'!$C$22,Y$4&lt;EDATE('APA Inputs'!$C$22,N('APA Inputs'!$D$22))),'APA Inputs'!$J$22,0)+IF(N('APA Inputs'!$H$22)&gt;0,IF(Y$4=EDATE('APA Inputs'!$C$22,'APA Inputs'!$H$22-1),N('APA Inputs'!$G$22),0),0))*IF('APA Inputs'!$I$22="",1,'APA Inputs'!$I$22))</f>
        <v>0</v>
      </c>
      <c r="Z7" s="419" t="n">
        <f aca="false">IF('APA Inputs'!$C$22="",0,(IF(AND(Z$4&gt;='APA Inputs'!$C$22,Z$4&lt;EDATE('APA Inputs'!$C$22,N('APA Inputs'!$D$22))),'APA Inputs'!$J$22,0)+IF(N('APA Inputs'!$H$22)&gt;0,IF(Z$4=EDATE('APA Inputs'!$C$22,'APA Inputs'!$H$22-1),N('APA Inputs'!$G$22),0),0))*IF('APA Inputs'!$I$22="",1,'APA Inputs'!$I$22))</f>
        <v>0</v>
      </c>
      <c r="AA7" s="419" t="n">
        <f aca="false">IF('APA Inputs'!$C$22="",0,(IF(AND(AA$4&gt;='APA Inputs'!$C$22,AA$4&lt;EDATE('APA Inputs'!$C$22,N('APA Inputs'!$D$22))),'APA Inputs'!$J$22,0)+IF(N('APA Inputs'!$H$22)&gt;0,IF(AA$4=EDATE('APA Inputs'!$C$22,'APA Inputs'!$H$22-1),N('APA Inputs'!$G$22),0),0))*IF('APA Inputs'!$I$22="",1,'APA Inputs'!$I$22))</f>
        <v>0</v>
      </c>
      <c r="AB7" s="419" t="n">
        <f aca="false">IF('APA Inputs'!$C$22="",0,(IF(AND(AB$4&gt;='APA Inputs'!$C$22,AB$4&lt;EDATE('APA Inputs'!$C$22,N('APA Inputs'!$D$22))),'APA Inputs'!$J$22,0)+IF(N('APA Inputs'!$H$22)&gt;0,IF(AB$4=EDATE('APA Inputs'!$C$22,'APA Inputs'!$H$22-1),N('APA Inputs'!$G$22),0),0))*IF('APA Inputs'!$I$22="",1,'APA Inputs'!$I$22))</f>
        <v>0</v>
      </c>
      <c r="AC7" s="419" t="n">
        <f aca="false">IF('APA Inputs'!$C$22="",0,(IF(AND(AC$4&gt;='APA Inputs'!$C$22,AC$4&lt;EDATE('APA Inputs'!$C$22,N('APA Inputs'!$D$22))),'APA Inputs'!$J$22,0)+IF(N('APA Inputs'!$H$22)&gt;0,IF(AC$4=EDATE('APA Inputs'!$C$22,'APA Inputs'!$H$22-1),N('APA Inputs'!$G$22),0),0))*IF('APA Inputs'!$I$22="",1,'APA Inputs'!$I$22))</f>
        <v>0</v>
      </c>
      <c r="AD7" s="419" t="n">
        <f aca="false">IF('APA Inputs'!$C$22="",0,(IF(AND(AD$4&gt;='APA Inputs'!$C$22,AD$4&lt;EDATE('APA Inputs'!$C$22,N('APA Inputs'!$D$22))),'APA Inputs'!$J$22,0)+IF(N('APA Inputs'!$H$22)&gt;0,IF(AD$4=EDATE('APA Inputs'!$C$22,'APA Inputs'!$H$22-1),N('APA Inputs'!$G$22),0),0))*IF('APA Inputs'!$I$22="",1,'APA Inputs'!$I$22))</f>
        <v>0</v>
      </c>
      <c r="AE7" s="419" t="n">
        <f aca="false">IF('APA Inputs'!$C$22="",0,(IF(AND(AE$4&gt;='APA Inputs'!$C$22,AE$4&lt;EDATE('APA Inputs'!$C$22,N('APA Inputs'!$D$22))),'APA Inputs'!$J$22,0)+IF(N('APA Inputs'!$H$22)&gt;0,IF(AE$4=EDATE('APA Inputs'!$C$22,'APA Inputs'!$H$22-1),N('APA Inputs'!$G$22),0),0))*IF('APA Inputs'!$I$22="",1,'APA Inputs'!$I$22))</f>
        <v>0</v>
      </c>
      <c r="AF7" s="419" t="n">
        <f aca="false">IF('APA Inputs'!$C$22="",0,(IF(AND(AF$4&gt;='APA Inputs'!$C$22,AF$4&lt;EDATE('APA Inputs'!$C$22,N('APA Inputs'!$D$22))),'APA Inputs'!$J$22,0)+IF(N('APA Inputs'!$H$22)&gt;0,IF(AF$4=EDATE('APA Inputs'!$C$22,'APA Inputs'!$H$22-1),N('APA Inputs'!$G$22),0),0))*IF('APA Inputs'!$I$22="",1,'APA Inputs'!$I$22))</f>
        <v>0</v>
      </c>
      <c r="AG7" s="419" t="n">
        <f aca="false">IF('APA Inputs'!$C$22="",0,(IF(AND(AG$4&gt;='APA Inputs'!$C$22,AG$4&lt;EDATE('APA Inputs'!$C$22,N('APA Inputs'!$D$22))),'APA Inputs'!$J$22,0)+IF(N('APA Inputs'!$H$22)&gt;0,IF(AG$4=EDATE('APA Inputs'!$C$22,'APA Inputs'!$H$22-1),N('APA Inputs'!$G$22),0),0))*IF('APA Inputs'!$I$22="",1,'APA Inputs'!$I$22))</f>
        <v>0</v>
      </c>
      <c r="AH7" s="419" t="n">
        <f aca="false">IF('APA Inputs'!$C$22="",0,(IF(AND(AH$4&gt;='APA Inputs'!$C$22,AH$4&lt;EDATE('APA Inputs'!$C$22,N('APA Inputs'!$D$22))),'APA Inputs'!$J$22,0)+IF(N('APA Inputs'!$H$22)&gt;0,IF(AH$4=EDATE('APA Inputs'!$C$22,'APA Inputs'!$H$22-1),N('APA Inputs'!$G$22),0),0))*IF('APA Inputs'!$I$22="",1,'APA Inputs'!$I$22))</f>
        <v>0</v>
      </c>
      <c r="AI7" s="419" t="n">
        <f aca="false">IF('APA Inputs'!$C$22="",0,(IF(AND(AI$4&gt;='APA Inputs'!$C$22,AI$4&lt;EDATE('APA Inputs'!$C$22,N('APA Inputs'!$D$22))),'APA Inputs'!$J$22,0)+IF(N('APA Inputs'!$H$22)&gt;0,IF(AI$4=EDATE('APA Inputs'!$C$22,'APA Inputs'!$H$22-1),N('APA Inputs'!$G$22),0),0))*IF('APA Inputs'!$I$22="",1,'APA Inputs'!$I$22))</f>
        <v>0</v>
      </c>
      <c r="AJ7" s="419" t="n">
        <f aca="false">IF('APA Inputs'!$C$22="",0,(IF(AND(AJ$4&gt;='APA Inputs'!$C$22,AJ$4&lt;EDATE('APA Inputs'!$C$22,N('APA Inputs'!$D$22))),'APA Inputs'!$J$22,0)+IF(N('APA Inputs'!$H$22)&gt;0,IF(AJ$4=EDATE('APA Inputs'!$C$22,'APA Inputs'!$H$22-1),N('APA Inputs'!$G$22),0),0))*IF('APA Inputs'!$I$22="",1,'APA Inputs'!$I$22))</f>
        <v>0</v>
      </c>
      <c r="AK7" s="419" t="n">
        <f aca="false">IF('APA Inputs'!$C$22="",0,(IF(AND(AK$4&gt;='APA Inputs'!$C$22,AK$4&lt;EDATE('APA Inputs'!$C$22,N('APA Inputs'!$D$22))),'APA Inputs'!$J$22,0)+IF(N('APA Inputs'!$H$22)&gt;0,IF(AK$4=EDATE('APA Inputs'!$C$22,'APA Inputs'!$H$22-1),N('APA Inputs'!$G$22),0),0))*IF('APA Inputs'!$I$22="",1,'APA Inputs'!$I$22))</f>
        <v>0</v>
      </c>
      <c r="AL7" s="419" t="n">
        <f aca="false">IF('APA Inputs'!$C$22="",0,(IF(AND(AL$4&gt;='APA Inputs'!$C$22,AL$4&lt;EDATE('APA Inputs'!$C$22,N('APA Inputs'!$D$22))),'APA Inputs'!$J$22,0)+IF(N('APA Inputs'!$H$22)&gt;0,IF(AL$4=EDATE('APA Inputs'!$C$22,'APA Inputs'!$H$22-1),N('APA Inputs'!$G$22),0),0))*IF('APA Inputs'!$I$22="",1,'APA Inputs'!$I$22))</f>
        <v>0</v>
      </c>
      <c r="AM7" s="419" t="n">
        <f aca="false">IF('APA Inputs'!$C$22="",0,(IF(AND(AM$4&gt;='APA Inputs'!$C$22,AM$4&lt;EDATE('APA Inputs'!$C$22,N('APA Inputs'!$D$22))),'APA Inputs'!$J$22,0)+IF(N('APA Inputs'!$H$22)&gt;0,IF(AM$4=EDATE('APA Inputs'!$C$22,'APA Inputs'!$H$22-1),N('APA Inputs'!$G$22),0),0))*IF('APA Inputs'!$I$22="",1,'APA Inputs'!$I$22))</f>
        <v>0</v>
      </c>
      <c r="AN7" s="419" t="n">
        <f aca="false">IF('APA Inputs'!$C$22="",0,(IF(AND(AN$4&gt;='APA Inputs'!$C$22,AN$4&lt;EDATE('APA Inputs'!$C$22,N('APA Inputs'!$D$22))),'APA Inputs'!$J$22,0)+IF(N('APA Inputs'!$H$22)&gt;0,IF(AN$4=EDATE('APA Inputs'!$C$22,'APA Inputs'!$H$22-1),N('APA Inputs'!$G$22),0),0))*IF('APA Inputs'!$I$22="",1,'APA Inputs'!$I$22))</f>
        <v>0</v>
      </c>
      <c r="AO7" s="419" t="n">
        <f aca="false">IF('APA Inputs'!$C$22="",0,(IF(AND(AO$4&gt;='APA Inputs'!$C$22,AO$4&lt;EDATE('APA Inputs'!$C$22,N('APA Inputs'!$D$22))),'APA Inputs'!$J$22,0)+IF(N('APA Inputs'!$H$22)&gt;0,IF(AO$4=EDATE('APA Inputs'!$C$22,'APA Inputs'!$H$22-1),N('APA Inputs'!$G$22),0),0))*IF('APA Inputs'!$I$22="",1,'APA Inputs'!$I$22))</f>
        <v>0</v>
      </c>
      <c r="AP7" s="419" t="n">
        <f aca="false">IF('APA Inputs'!$C$22="",0,(IF(AND(AP$4&gt;='APA Inputs'!$C$22,AP$4&lt;EDATE('APA Inputs'!$C$22,N('APA Inputs'!$D$22))),'APA Inputs'!$J$22,0)+IF(N('APA Inputs'!$H$22)&gt;0,IF(AP$4=EDATE('APA Inputs'!$C$22,'APA Inputs'!$H$22-1),N('APA Inputs'!$G$22),0),0))*IF('APA Inputs'!$I$22="",1,'APA Inputs'!$I$22))</f>
        <v>0</v>
      </c>
      <c r="AQ7" s="419" t="n">
        <f aca="false">IF('APA Inputs'!$C$22="",0,(IF(AND(AQ$4&gt;='APA Inputs'!$C$22,AQ$4&lt;EDATE('APA Inputs'!$C$22,N('APA Inputs'!$D$22))),'APA Inputs'!$J$22,0)+IF(N('APA Inputs'!$H$22)&gt;0,IF(AQ$4=EDATE('APA Inputs'!$C$22,'APA Inputs'!$H$22-1),N('APA Inputs'!$G$22),0),0))*IF('APA Inputs'!$I$22="",1,'APA Inputs'!$I$22))</f>
        <v>0</v>
      </c>
      <c r="AR7" s="419" t="n">
        <f aca="false">IF('APA Inputs'!$C$22="",0,(IF(AND(AR$4&gt;='APA Inputs'!$C$22,AR$4&lt;EDATE('APA Inputs'!$C$22,N('APA Inputs'!$D$22))),'APA Inputs'!$J$22,0)+IF(N('APA Inputs'!$H$22)&gt;0,IF(AR$4=EDATE('APA Inputs'!$C$22,'APA Inputs'!$H$22-1),N('APA Inputs'!$G$22),0),0))*IF('APA Inputs'!$I$22="",1,'APA Inputs'!$I$22))</f>
        <v>0</v>
      </c>
      <c r="AS7" s="419" t="n">
        <f aca="false">IF('APA Inputs'!$C$22="",0,(IF(AND(AS$4&gt;='APA Inputs'!$C$22,AS$4&lt;EDATE('APA Inputs'!$C$22,N('APA Inputs'!$D$22))),'APA Inputs'!$J$22,0)+IF(N('APA Inputs'!$H$22)&gt;0,IF(AS$4=EDATE('APA Inputs'!$C$22,'APA Inputs'!$H$22-1),N('APA Inputs'!$G$22),0),0))*IF('APA Inputs'!$I$22="",1,'APA Inputs'!$I$22))</f>
        <v>0</v>
      </c>
      <c r="AT7" s="419" t="n">
        <f aca="false">IF('APA Inputs'!$C$22="",0,(IF(AND(AT$4&gt;='APA Inputs'!$C$22,AT$4&lt;EDATE('APA Inputs'!$C$22,N('APA Inputs'!$D$22))),'APA Inputs'!$J$22,0)+IF(N('APA Inputs'!$H$22)&gt;0,IF(AT$4=EDATE('APA Inputs'!$C$22,'APA Inputs'!$H$22-1),N('APA Inputs'!$G$22),0),0))*IF('APA Inputs'!$I$22="",1,'APA Inputs'!$I$22))</f>
        <v>0</v>
      </c>
      <c r="AU7" s="419" t="n">
        <f aca="false">IF('APA Inputs'!$C$22="",0,(IF(AND(AU$4&gt;='APA Inputs'!$C$22,AU$4&lt;EDATE('APA Inputs'!$C$22,N('APA Inputs'!$D$22))),'APA Inputs'!$J$22,0)+IF(N('APA Inputs'!$H$22)&gt;0,IF(AU$4=EDATE('APA Inputs'!$C$22,'APA Inputs'!$H$22-1),N('APA Inputs'!$G$22),0),0))*IF('APA Inputs'!$I$22="",1,'APA Inputs'!$I$22))</f>
        <v>0</v>
      </c>
      <c r="AV7" s="419" t="n">
        <f aca="false">IF('APA Inputs'!$C$22="",0,(IF(AND(AV$4&gt;='APA Inputs'!$C$22,AV$4&lt;EDATE('APA Inputs'!$C$22,N('APA Inputs'!$D$22))),'APA Inputs'!$J$22,0)+IF(N('APA Inputs'!$H$22)&gt;0,IF(AV$4=EDATE('APA Inputs'!$C$22,'APA Inputs'!$H$22-1),N('APA Inputs'!$G$22),0),0))*IF('APA Inputs'!$I$22="",1,'APA Inputs'!$I$22))</f>
        <v>0</v>
      </c>
      <c r="AW7" s="419" t="n">
        <f aca="false">IF('APA Inputs'!$C$22="",0,(IF(AND(AW$4&gt;='APA Inputs'!$C$22,AW$4&lt;EDATE('APA Inputs'!$C$22,N('APA Inputs'!$D$22))),'APA Inputs'!$J$22,0)+IF(N('APA Inputs'!$H$22)&gt;0,IF(AW$4=EDATE('APA Inputs'!$C$22,'APA Inputs'!$H$22-1),N('APA Inputs'!$G$22),0),0))*IF('APA Inputs'!$I$22="",1,'APA Inputs'!$I$22))</f>
        <v>0</v>
      </c>
      <c r="AX7" s="419" t="n">
        <f aca="false">IF('APA Inputs'!$C$22="",0,(IF(AND(AX$4&gt;='APA Inputs'!$C$22,AX$4&lt;EDATE('APA Inputs'!$C$22,N('APA Inputs'!$D$22))),'APA Inputs'!$J$22,0)+IF(N('APA Inputs'!$H$22)&gt;0,IF(AX$4=EDATE('APA Inputs'!$C$22,'APA Inputs'!$H$22-1),N('APA Inputs'!$G$22),0),0))*IF('APA Inputs'!$I$22="",1,'APA Inputs'!$I$22))</f>
        <v>0</v>
      </c>
      <c r="AY7" s="419" t="n">
        <f aca="false">IF('APA Inputs'!$C$22="",0,(IF(AND(AY$4&gt;='APA Inputs'!$C$22,AY$4&lt;EDATE('APA Inputs'!$C$22,N('APA Inputs'!$D$22))),'APA Inputs'!$J$22,0)+IF(N('APA Inputs'!$H$22)&gt;0,IF(AY$4=EDATE('APA Inputs'!$C$22,'APA Inputs'!$H$22-1),N('APA Inputs'!$G$22),0),0))*IF('APA Inputs'!$I$22="",1,'APA Inputs'!$I$22))</f>
        <v>0</v>
      </c>
      <c r="AZ7" s="419" t="n">
        <f aca="false">IF('APA Inputs'!$C$22="",0,(IF(AND(AZ$4&gt;='APA Inputs'!$C$22,AZ$4&lt;EDATE('APA Inputs'!$C$22,N('APA Inputs'!$D$22))),'APA Inputs'!$J$22,0)+IF(N('APA Inputs'!$H$22)&gt;0,IF(AZ$4=EDATE('APA Inputs'!$C$22,'APA Inputs'!$H$22-1),N('APA Inputs'!$G$22),0),0))*IF('APA Inputs'!$I$22="",1,'APA Inputs'!$I$22))</f>
        <v>0</v>
      </c>
      <c r="BA7" s="419" t="n">
        <f aca="false">IF('APA Inputs'!$C$22="",0,(IF(AND(BA$4&gt;='APA Inputs'!$C$22,BA$4&lt;EDATE('APA Inputs'!$C$22,N('APA Inputs'!$D$22))),'APA Inputs'!$J$22,0)+IF(N('APA Inputs'!$H$22)&gt;0,IF(BA$4=EDATE('APA Inputs'!$C$22,'APA Inputs'!$H$22-1),N('APA Inputs'!$G$22),0),0))*IF('APA Inputs'!$I$22="",1,'APA Inputs'!$I$22))</f>
        <v>0</v>
      </c>
      <c r="BB7" s="419" t="n">
        <f aca="false">IF('APA Inputs'!$C$22="",0,(IF(AND(BB$4&gt;='APA Inputs'!$C$22,BB$4&lt;EDATE('APA Inputs'!$C$22,N('APA Inputs'!$D$22))),'APA Inputs'!$J$22,0)+IF(N('APA Inputs'!$H$22)&gt;0,IF(BB$4=EDATE('APA Inputs'!$C$22,'APA Inputs'!$H$22-1),N('APA Inputs'!$G$22),0),0))*IF('APA Inputs'!$I$22="",1,'APA Inputs'!$I$22))</f>
        <v>0</v>
      </c>
      <c r="BC7" s="419" t="n">
        <f aca="false">IF('APA Inputs'!$C$22="",0,(IF(AND(BC$4&gt;='APA Inputs'!$C$22,BC$4&lt;EDATE('APA Inputs'!$C$22,N('APA Inputs'!$D$22))),'APA Inputs'!$J$22,0)+IF(N('APA Inputs'!$H$22)&gt;0,IF(BC$4=EDATE('APA Inputs'!$C$22,'APA Inputs'!$H$22-1),N('APA Inputs'!$G$22),0),0))*IF('APA Inputs'!$I$22="",1,'APA Inputs'!$I$22))</f>
        <v>0</v>
      </c>
      <c r="BD7" s="419" t="n">
        <f aca="false">IF('APA Inputs'!$C$22="",0,(IF(AND(BD$4&gt;='APA Inputs'!$C$22,BD$4&lt;EDATE('APA Inputs'!$C$22,N('APA Inputs'!$D$22))),'APA Inputs'!$J$22,0)+IF(N('APA Inputs'!$H$22)&gt;0,IF(BD$4=EDATE('APA Inputs'!$C$22,'APA Inputs'!$H$22-1),N('APA Inputs'!$G$22),0),0))*IF('APA Inputs'!$I$22="",1,'APA Inputs'!$I$22))</f>
        <v>0</v>
      </c>
      <c r="BE7" s="419" t="n">
        <f aca="false">IF('APA Inputs'!$C$22="",0,(IF(AND(BE$4&gt;='APA Inputs'!$C$22,BE$4&lt;EDATE('APA Inputs'!$C$22,N('APA Inputs'!$D$22))),'APA Inputs'!$J$22,0)+IF(N('APA Inputs'!$H$22)&gt;0,IF(BE$4=EDATE('APA Inputs'!$C$22,'APA Inputs'!$H$22-1),N('APA Inputs'!$G$22),0),0))*IF('APA Inputs'!$I$22="",1,'APA Inputs'!$I$22))</f>
        <v>0</v>
      </c>
      <c r="BF7" s="419" t="n">
        <f aca="false">IF('APA Inputs'!$C$22="",0,(IF(AND(BF$4&gt;='APA Inputs'!$C$22,BF$4&lt;EDATE('APA Inputs'!$C$22,N('APA Inputs'!$D$22))),'APA Inputs'!$J$22,0)+IF(N('APA Inputs'!$H$22)&gt;0,IF(BF$4=EDATE('APA Inputs'!$C$22,'APA Inputs'!$H$22-1),N('APA Inputs'!$G$22),0),0))*IF('APA Inputs'!$I$22="",1,'APA Inputs'!$I$22))</f>
        <v>0</v>
      </c>
      <c r="BG7" s="419" t="n">
        <f aca="false">IF('APA Inputs'!$C$22="",0,(IF(AND(BG$4&gt;='APA Inputs'!$C$22,BG$4&lt;EDATE('APA Inputs'!$C$22,N('APA Inputs'!$D$22))),'APA Inputs'!$J$22,0)+IF(N('APA Inputs'!$H$22)&gt;0,IF(BG$4=EDATE('APA Inputs'!$C$22,'APA Inputs'!$H$22-1),N('APA Inputs'!$G$22),0),0))*IF('APA Inputs'!$I$22="",1,'APA Inputs'!$I$22))</f>
        <v>0</v>
      </c>
      <c r="BH7" s="419" t="n">
        <f aca="false">IF('APA Inputs'!$C$22="",0,(IF(AND(BH$4&gt;='APA Inputs'!$C$22,BH$4&lt;EDATE('APA Inputs'!$C$22,N('APA Inputs'!$D$22))),'APA Inputs'!$J$22,0)+IF(N('APA Inputs'!$H$22)&gt;0,IF(BH$4=EDATE('APA Inputs'!$C$22,'APA Inputs'!$H$22-1),N('APA Inputs'!$G$22),0),0))*IF('APA Inputs'!$I$22="",1,'APA Inputs'!$I$22))</f>
        <v>0</v>
      </c>
      <c r="BI7" s="419" t="n">
        <f aca="false">IF('APA Inputs'!$C$22="",0,(IF(AND(BI$4&gt;='APA Inputs'!$C$22,BI$4&lt;EDATE('APA Inputs'!$C$22,N('APA Inputs'!$D$22))),'APA Inputs'!$J$22,0)+IF(N('APA Inputs'!$H$22)&gt;0,IF(BI$4=EDATE('APA Inputs'!$C$22,'APA Inputs'!$H$22-1),N('APA Inputs'!$G$22),0),0))*IF('APA Inputs'!$I$22="",1,'APA Inputs'!$I$22))</f>
        <v>0</v>
      </c>
      <c r="BJ7" s="419" t="n">
        <f aca="false">IF('APA Inputs'!$C$22="",0,(IF(AND(BJ$4&gt;='APA Inputs'!$C$22,BJ$4&lt;EDATE('APA Inputs'!$C$22,N('APA Inputs'!$D$22))),'APA Inputs'!$J$22,0)+IF(N('APA Inputs'!$H$22)&gt;0,IF(BJ$4=EDATE('APA Inputs'!$C$22,'APA Inputs'!$H$22-1),N('APA Inputs'!$G$22),0),0))*IF('APA Inputs'!$I$22="",1,'APA Inputs'!$I$22))</f>
        <v>0</v>
      </c>
      <c r="BK7" s="419" t="n">
        <f aca="false">IF('APA Inputs'!$C$22="",0,(IF(AND(BK$4&gt;='APA Inputs'!$C$22,BK$4&lt;EDATE('APA Inputs'!$C$22,N('APA Inputs'!$D$22))),'APA Inputs'!$J$22,0)+IF(N('APA Inputs'!$H$22)&gt;0,IF(BK$4=EDATE('APA Inputs'!$C$22,'APA Inputs'!$H$22-1),N('APA Inputs'!$G$22),0),0))*IF('APA Inputs'!$I$22="",1,'APA Inputs'!$I$22))</f>
        <v>0</v>
      </c>
      <c r="BL7" s="419" t="n">
        <f aca="false">IF('APA Inputs'!$C$22="",0,(IF(AND(BL$4&gt;='APA Inputs'!$C$22,BL$4&lt;EDATE('APA Inputs'!$C$22,N('APA Inputs'!$D$22))),'APA Inputs'!$J$22,0)+IF(N('APA Inputs'!$H$22)&gt;0,IF(BL$4=EDATE('APA Inputs'!$C$22,'APA Inputs'!$H$22-1),N('APA Inputs'!$G$22),0),0))*IF('APA Inputs'!$I$22="",1,'APA Inputs'!$I$22))</f>
        <v>0</v>
      </c>
      <c r="BM7" s="419" t="n">
        <f aca="false">IF('APA Inputs'!$C$22="",0,(IF(AND(BM$4&gt;='APA Inputs'!$C$22,BM$4&lt;EDATE('APA Inputs'!$C$22,N('APA Inputs'!$D$22))),'APA Inputs'!$J$22,0)+IF(N('APA Inputs'!$H$22)&gt;0,IF(BM$4=EDATE('APA Inputs'!$C$22,'APA Inputs'!$H$22-1),N('APA Inputs'!$G$22),0),0))*IF('APA Inputs'!$I$22="",1,'APA Inputs'!$I$22))</f>
        <v>0</v>
      </c>
      <c r="BN7" s="419" t="n">
        <f aca="false">IF('APA Inputs'!$C$22="",0,(IF(AND(BN$4&gt;='APA Inputs'!$C$22,BN$4&lt;EDATE('APA Inputs'!$C$22,N('APA Inputs'!$D$22))),'APA Inputs'!$J$22,0)+IF(N('APA Inputs'!$H$22)&gt;0,IF(BN$4=EDATE('APA Inputs'!$C$22,'APA Inputs'!$H$22-1),N('APA Inputs'!$G$22),0),0))*IF('APA Inputs'!$I$22="",1,'APA Inputs'!$I$22))</f>
        <v>0</v>
      </c>
      <c r="BO7" s="419" t="n">
        <f aca="false">IF('APA Inputs'!$C$22="",0,(IF(AND(BO$4&gt;='APA Inputs'!$C$22,BO$4&lt;EDATE('APA Inputs'!$C$22,N('APA Inputs'!$D$22))),'APA Inputs'!$J$22,0)+IF(N('APA Inputs'!$H$22)&gt;0,IF(BO$4=EDATE('APA Inputs'!$C$22,'APA Inputs'!$H$22-1),N('APA Inputs'!$G$22),0),0))*IF('APA Inputs'!$I$22="",1,'APA Inputs'!$I$22))</f>
        <v>0</v>
      </c>
      <c r="BP7" s="419" t="n">
        <f aca="false">IF('APA Inputs'!$C$22="",0,(IF(AND(BP$4&gt;='APA Inputs'!$C$22,BP$4&lt;EDATE('APA Inputs'!$C$22,N('APA Inputs'!$D$22))),'APA Inputs'!$J$22,0)+IF(N('APA Inputs'!$H$22)&gt;0,IF(BP$4=EDATE('APA Inputs'!$C$22,'APA Inputs'!$H$22-1),N('APA Inputs'!$G$22),0),0))*IF('APA Inputs'!$I$22="",1,'APA Inputs'!$I$22))</f>
        <v>0</v>
      </c>
      <c r="BQ7" s="419" t="n">
        <f aca="false">IF('APA Inputs'!$C$22="",0,(IF(AND(BQ$4&gt;='APA Inputs'!$C$22,BQ$4&lt;EDATE('APA Inputs'!$C$22,N('APA Inputs'!$D$22))),'APA Inputs'!$J$22,0)+IF(N('APA Inputs'!$H$22)&gt;0,IF(BQ$4=EDATE('APA Inputs'!$C$22,'APA Inputs'!$H$22-1),N('APA Inputs'!$G$22),0),0))*IF('APA Inputs'!$I$22="",1,'APA Inputs'!$I$22))</f>
        <v>0</v>
      </c>
      <c r="BR7" s="419" t="n">
        <f aca="false">IF('APA Inputs'!$C$22="",0,(IF(AND(BR$4&gt;='APA Inputs'!$C$22,BR$4&lt;EDATE('APA Inputs'!$C$22,N('APA Inputs'!$D$22))),'APA Inputs'!$J$22,0)+IF(N('APA Inputs'!$H$22)&gt;0,IF(BR$4=EDATE('APA Inputs'!$C$22,'APA Inputs'!$H$22-1),N('APA Inputs'!$G$22),0),0))*IF('APA Inputs'!$I$22="",1,'APA Inputs'!$I$22))</f>
        <v>0</v>
      </c>
      <c r="BS7" s="419" t="n">
        <f aca="false">IF('APA Inputs'!$C$22="",0,(IF(AND(BS$4&gt;='APA Inputs'!$C$22,BS$4&lt;EDATE('APA Inputs'!$C$22,N('APA Inputs'!$D$22))),'APA Inputs'!$J$22,0)+IF(N('APA Inputs'!$H$22)&gt;0,IF(BS$4=EDATE('APA Inputs'!$C$22,'APA Inputs'!$H$22-1),N('APA Inputs'!$G$22),0),0))*IF('APA Inputs'!$I$22="",1,'APA Inputs'!$I$22))</f>
        <v>0</v>
      </c>
      <c r="BT7" s="419" t="n">
        <f aca="false">IF('APA Inputs'!$C$22="",0,(IF(AND(BT$4&gt;='APA Inputs'!$C$22,BT$4&lt;EDATE('APA Inputs'!$C$22,N('APA Inputs'!$D$22))),'APA Inputs'!$J$22,0)+IF(N('APA Inputs'!$H$22)&gt;0,IF(BT$4=EDATE('APA Inputs'!$C$22,'APA Inputs'!$H$22-1),N('APA Inputs'!$G$22),0),0))*IF('APA Inputs'!$I$22="",1,'APA Inputs'!$I$22))</f>
        <v>0</v>
      </c>
      <c r="BU7" s="419" t="n">
        <f aca="false">IF('APA Inputs'!$C$22="",0,(IF(AND(BU$4&gt;='APA Inputs'!$C$22,BU$4&lt;EDATE('APA Inputs'!$C$22,N('APA Inputs'!$D$22))),'APA Inputs'!$J$22,0)+IF(N('APA Inputs'!$H$22)&gt;0,IF(BU$4=EDATE('APA Inputs'!$C$22,'APA Inputs'!$H$22-1),N('APA Inputs'!$G$22),0),0))*IF('APA Inputs'!$I$22="",1,'APA Inputs'!$I$22))</f>
        <v>0</v>
      </c>
      <c r="BV7" s="419" t="n">
        <f aca="false">IF('APA Inputs'!$C$22="",0,(IF(AND(BV$4&gt;='APA Inputs'!$C$22,BV$4&lt;EDATE('APA Inputs'!$C$22,N('APA Inputs'!$D$22))),'APA Inputs'!$J$22,0)+IF(N('APA Inputs'!$H$22)&gt;0,IF(BV$4=EDATE('APA Inputs'!$C$22,'APA Inputs'!$H$22-1),N('APA Inputs'!$G$22),0),0))*IF('APA Inputs'!$I$22="",1,'APA Inputs'!$I$22))</f>
        <v>0</v>
      </c>
      <c r="BW7" s="419" t="n">
        <f aca="false">IF('APA Inputs'!$C$22="",0,(IF(AND(BW$4&gt;='APA Inputs'!$C$22,BW$4&lt;EDATE('APA Inputs'!$C$22,N('APA Inputs'!$D$22))),'APA Inputs'!$J$22,0)+IF(N('APA Inputs'!$H$22)&gt;0,IF(BW$4=EDATE('APA Inputs'!$C$22,'APA Inputs'!$H$22-1),N('APA Inputs'!$G$22),0),0))*IF('APA Inputs'!$I$22="",1,'APA Inputs'!$I$22))</f>
        <v>0</v>
      </c>
      <c r="BX7" s="419" t="n">
        <f aca="false">IF('APA Inputs'!$C$22="",0,(IF(AND(BX$4&gt;='APA Inputs'!$C$22,BX$4&lt;EDATE('APA Inputs'!$C$22,N('APA Inputs'!$D$22))),'APA Inputs'!$J$22,0)+IF(N('APA Inputs'!$H$22)&gt;0,IF(BX$4=EDATE('APA Inputs'!$C$22,'APA Inputs'!$H$22-1),N('APA Inputs'!$G$22),0),0))*IF('APA Inputs'!$I$22="",1,'APA Inputs'!$I$22))</f>
        <v>0</v>
      </c>
      <c r="BY7" s="419" t="n">
        <f aca="false">IF('APA Inputs'!$C$22="",0,(IF(AND(BY$4&gt;='APA Inputs'!$C$22,BY$4&lt;EDATE('APA Inputs'!$C$22,N('APA Inputs'!$D$22))),'APA Inputs'!$J$22,0)+IF(N('APA Inputs'!$H$22)&gt;0,IF(BY$4=EDATE('APA Inputs'!$C$22,'APA Inputs'!$H$22-1),N('APA Inputs'!$G$22),0),0))*IF('APA Inputs'!$I$22="",1,'APA Inputs'!$I$22))</f>
        <v>0</v>
      </c>
      <c r="BZ7" s="419" t="n">
        <f aca="false">IF('APA Inputs'!$C$22="",0,(IF(AND(BZ$4&gt;='APA Inputs'!$C$22,BZ$4&lt;EDATE('APA Inputs'!$C$22,N('APA Inputs'!$D$22))),'APA Inputs'!$J$22,0)+IF(N('APA Inputs'!$H$22)&gt;0,IF(BZ$4=EDATE('APA Inputs'!$C$22,'APA Inputs'!$H$22-1),N('APA Inputs'!$G$22),0),0))*IF('APA Inputs'!$I$22="",1,'APA Inputs'!$I$22))</f>
        <v>0</v>
      </c>
      <c r="CA7" s="419" t="n">
        <f aca="false">IF('APA Inputs'!$C$22="",0,(IF(AND(CA$4&gt;='APA Inputs'!$C$22,CA$4&lt;EDATE('APA Inputs'!$C$22,N('APA Inputs'!$D$22))),'APA Inputs'!$J$22,0)+IF(N('APA Inputs'!$H$22)&gt;0,IF(CA$4=EDATE('APA Inputs'!$C$22,'APA Inputs'!$H$22-1),N('APA Inputs'!$G$22),0),0))*IF('APA Inputs'!$I$22="",1,'APA Inputs'!$I$22))</f>
        <v>0</v>
      </c>
      <c r="CB7" s="419" t="n">
        <f aca="false">IF('APA Inputs'!$C$22="",0,(IF(AND(CB$4&gt;='APA Inputs'!$C$22,CB$4&lt;EDATE('APA Inputs'!$C$22,N('APA Inputs'!$D$22))),'APA Inputs'!$J$22,0)+IF(N('APA Inputs'!$H$22)&gt;0,IF(CB$4=EDATE('APA Inputs'!$C$22,'APA Inputs'!$H$22-1),N('APA Inputs'!$G$22),0),0))*IF('APA Inputs'!$I$22="",1,'APA Inputs'!$I$22))</f>
        <v>0</v>
      </c>
      <c r="CC7" s="419" t="n">
        <f aca="false">IF('APA Inputs'!$C$22="",0,(IF(AND(CC$4&gt;='APA Inputs'!$C$22,CC$4&lt;EDATE('APA Inputs'!$C$22,N('APA Inputs'!$D$22))),'APA Inputs'!$J$22,0)+IF(N('APA Inputs'!$H$22)&gt;0,IF(CC$4=EDATE('APA Inputs'!$C$22,'APA Inputs'!$H$22-1),N('APA Inputs'!$G$22),0),0))*IF('APA Inputs'!$I$22="",1,'APA Inputs'!$I$22))</f>
        <v>0</v>
      </c>
      <c r="CD7" s="419" t="n">
        <f aca="false">IF('APA Inputs'!$C$22="",0,(IF(AND(CD$4&gt;='APA Inputs'!$C$22,CD$4&lt;EDATE('APA Inputs'!$C$22,N('APA Inputs'!$D$22))),'APA Inputs'!$J$22,0)+IF(N('APA Inputs'!$H$22)&gt;0,IF(CD$4=EDATE('APA Inputs'!$C$22,'APA Inputs'!$H$22-1),N('APA Inputs'!$G$22),0),0))*IF('APA Inputs'!$I$22="",1,'APA Inputs'!$I$22))</f>
        <v>0</v>
      </c>
      <c r="CE7" s="419" t="n">
        <f aca="false">IF('APA Inputs'!$C$22="",0,(IF(AND(CE$4&gt;='APA Inputs'!$C$22,CE$4&lt;EDATE('APA Inputs'!$C$22,N('APA Inputs'!$D$22))),'APA Inputs'!$J$22,0)+IF(N('APA Inputs'!$H$22)&gt;0,IF(CE$4=EDATE('APA Inputs'!$C$22,'APA Inputs'!$H$22-1),N('APA Inputs'!$G$22),0),0))*IF('APA Inputs'!$I$22="",1,'APA Inputs'!$I$22))</f>
        <v>0</v>
      </c>
      <c r="CF7" s="419" t="n">
        <f aca="false">IF('APA Inputs'!$C$22="",0,(IF(AND(CF$4&gt;='APA Inputs'!$C$22,CF$4&lt;EDATE('APA Inputs'!$C$22,N('APA Inputs'!$D$22))),'APA Inputs'!$J$22,0)+IF(N('APA Inputs'!$H$22)&gt;0,IF(CF$4=EDATE('APA Inputs'!$C$22,'APA Inputs'!$H$22-1),N('APA Inputs'!$G$22),0),0))*IF('APA Inputs'!$I$22="",1,'APA Inputs'!$I$22))</f>
        <v>0</v>
      </c>
      <c r="CG7" s="419" t="n">
        <f aca="false">IF('APA Inputs'!$C$22="",0,(IF(AND(CG$4&gt;='APA Inputs'!$C$22,CG$4&lt;EDATE('APA Inputs'!$C$22,N('APA Inputs'!$D$22))),'APA Inputs'!$J$22,0)+IF(N('APA Inputs'!$H$22)&gt;0,IF(CG$4=EDATE('APA Inputs'!$C$22,'APA Inputs'!$H$22-1),N('APA Inputs'!$G$22),0),0))*IF('APA Inputs'!$I$22="",1,'APA Inputs'!$I$22))</f>
        <v>0</v>
      </c>
      <c r="CH7" s="419" t="n">
        <f aca="false">IF('APA Inputs'!$C$22="",0,(IF(AND(CH$4&gt;='APA Inputs'!$C$22,CH$4&lt;EDATE('APA Inputs'!$C$22,N('APA Inputs'!$D$22))),'APA Inputs'!$J$22,0)+IF(N('APA Inputs'!$H$22)&gt;0,IF(CH$4=EDATE('APA Inputs'!$C$22,'APA Inputs'!$H$22-1),N('APA Inputs'!$G$22),0),0))*IF('APA Inputs'!$I$22="",1,'APA Inputs'!$I$22))</f>
        <v>0</v>
      </c>
      <c r="CI7" s="419" t="n">
        <f aca="false">IF('APA Inputs'!$C$22="",0,(IF(AND(CI$4&gt;='APA Inputs'!$C$22,CI$4&lt;EDATE('APA Inputs'!$C$22,N('APA Inputs'!$D$22))),'APA Inputs'!$J$22,0)+IF(N('APA Inputs'!$H$22)&gt;0,IF(CI$4=EDATE('APA Inputs'!$C$22,'APA Inputs'!$H$22-1),N('APA Inputs'!$G$22),0),0))*IF('APA Inputs'!$I$22="",1,'APA Inputs'!$I$22))</f>
        <v>0</v>
      </c>
      <c r="CJ7" s="419" t="n">
        <f aca="false">IF('APA Inputs'!$C$22="",0,(IF(AND(CJ$4&gt;='APA Inputs'!$C$22,CJ$4&lt;EDATE('APA Inputs'!$C$22,N('APA Inputs'!$D$22))),'APA Inputs'!$J$22,0)+IF(N('APA Inputs'!$H$22)&gt;0,IF(CJ$4=EDATE('APA Inputs'!$C$22,'APA Inputs'!$H$22-1),N('APA Inputs'!$G$22),0),0))*IF('APA Inputs'!$I$22="",1,'APA Inputs'!$I$22))</f>
        <v>0</v>
      </c>
      <c r="CK7" s="419" t="n">
        <f aca="false">IF('APA Inputs'!$C$22="",0,(IF(AND(CK$4&gt;='APA Inputs'!$C$22,CK$4&lt;EDATE('APA Inputs'!$C$22,N('APA Inputs'!$D$22))),'APA Inputs'!$J$22,0)+IF(N('APA Inputs'!$H$22)&gt;0,IF(CK$4=EDATE('APA Inputs'!$C$22,'APA Inputs'!$H$22-1),N('APA Inputs'!$G$22),0),0))*IF('APA Inputs'!$I$22="",1,'APA Inputs'!$I$22))</f>
        <v>0</v>
      </c>
      <c r="CL7" s="419" t="n">
        <f aca="false">IF('APA Inputs'!$C$22="",0,(IF(AND(CL$4&gt;='APA Inputs'!$C$22,CL$4&lt;EDATE('APA Inputs'!$C$22,N('APA Inputs'!$D$22))),'APA Inputs'!$J$22,0)+IF(N('APA Inputs'!$H$22)&gt;0,IF(CL$4=EDATE('APA Inputs'!$C$22,'APA Inputs'!$H$22-1),N('APA Inputs'!$G$22),0),0))*IF('APA Inputs'!$I$22="",1,'APA Inputs'!$I$22))</f>
        <v>0</v>
      </c>
      <c r="CM7" s="419" t="n">
        <f aca="false">IF('APA Inputs'!$C$22="",0,(IF(AND(CM$4&gt;='APA Inputs'!$C$22,CM$4&lt;EDATE('APA Inputs'!$C$22,N('APA Inputs'!$D$22))),'APA Inputs'!$J$22,0)+IF(N('APA Inputs'!$H$22)&gt;0,IF(CM$4=EDATE('APA Inputs'!$C$22,'APA Inputs'!$H$22-1),N('APA Inputs'!$G$22),0),0))*IF('APA Inputs'!$I$22="",1,'APA Inputs'!$I$22))</f>
        <v>0</v>
      </c>
      <c r="CN7" s="419" t="n">
        <f aca="false">IF('APA Inputs'!$C$22="",0,(IF(AND(CN$4&gt;='APA Inputs'!$C$22,CN$4&lt;EDATE('APA Inputs'!$C$22,N('APA Inputs'!$D$22))),'APA Inputs'!$J$22,0)+IF(N('APA Inputs'!$H$22)&gt;0,IF(CN$4=EDATE('APA Inputs'!$C$22,'APA Inputs'!$H$22-1),N('APA Inputs'!$G$22),0),0))*IF('APA Inputs'!$I$22="",1,'APA Inputs'!$I$22))</f>
        <v>0</v>
      </c>
      <c r="CO7" s="419" t="n">
        <f aca="false">IF('APA Inputs'!$C$22="",0,(IF(AND(CO$4&gt;='APA Inputs'!$C$22,CO$4&lt;EDATE('APA Inputs'!$C$22,N('APA Inputs'!$D$22))),'APA Inputs'!$J$22,0)+IF(N('APA Inputs'!$H$22)&gt;0,IF(CO$4=EDATE('APA Inputs'!$C$22,'APA Inputs'!$H$22-1),N('APA Inputs'!$G$22),0),0))*IF('APA Inputs'!$I$22="",1,'APA Inputs'!$I$22))</f>
        <v>0</v>
      </c>
      <c r="CP7" s="419" t="n">
        <f aca="false">IF('APA Inputs'!$C$22="",0,(IF(AND(CP$4&gt;='APA Inputs'!$C$22,CP$4&lt;EDATE('APA Inputs'!$C$22,N('APA Inputs'!$D$22))),'APA Inputs'!$J$22,0)+IF(N('APA Inputs'!$H$22)&gt;0,IF(CP$4=EDATE('APA Inputs'!$C$22,'APA Inputs'!$H$22-1),N('APA Inputs'!$G$22),0),0))*IF('APA Inputs'!$I$22="",1,'APA Inputs'!$I$22))</f>
        <v>0</v>
      </c>
      <c r="CQ7" s="419" t="n">
        <f aca="false">IF('APA Inputs'!$C$22="",0,(IF(AND(CQ$4&gt;='APA Inputs'!$C$22,CQ$4&lt;EDATE('APA Inputs'!$C$22,N('APA Inputs'!$D$22))),'APA Inputs'!$J$22,0)+IF(N('APA Inputs'!$H$22)&gt;0,IF(CQ$4=EDATE('APA Inputs'!$C$22,'APA Inputs'!$H$22-1),N('APA Inputs'!$G$22),0),0))*IF('APA Inputs'!$I$22="",1,'APA Inputs'!$I$22))</f>
        <v>0</v>
      </c>
      <c r="CR7" s="419" t="n">
        <f aca="false">IF('APA Inputs'!$C$22="",0,(IF(AND(CR$4&gt;='APA Inputs'!$C$22,CR$4&lt;EDATE('APA Inputs'!$C$22,N('APA Inputs'!$D$22))),'APA Inputs'!$J$22,0)+IF(N('APA Inputs'!$H$22)&gt;0,IF(CR$4=EDATE('APA Inputs'!$C$22,'APA Inputs'!$H$22-1),N('APA Inputs'!$G$22),0),0))*IF('APA Inputs'!$I$22="",1,'APA Inputs'!$I$22))</f>
        <v>0</v>
      </c>
      <c r="CS7" s="419" t="n">
        <f aca="false">IF('APA Inputs'!$C$22="",0,(IF(AND(CS$4&gt;='APA Inputs'!$C$22,CS$4&lt;EDATE('APA Inputs'!$C$22,N('APA Inputs'!$D$22))),'APA Inputs'!$J$22,0)+IF(N('APA Inputs'!$H$22)&gt;0,IF(CS$4=EDATE('APA Inputs'!$C$22,'APA Inputs'!$H$22-1),N('APA Inputs'!$G$22),0),0))*IF('APA Inputs'!$I$22="",1,'APA Inputs'!$I$22))</f>
        <v>0</v>
      </c>
      <c r="CT7" s="419" t="n">
        <f aca="false">IF('APA Inputs'!$C$22="",0,(IF(AND(CT$4&gt;='APA Inputs'!$C$22,CT$4&lt;EDATE('APA Inputs'!$C$22,N('APA Inputs'!$D$22))),'APA Inputs'!$J$22,0)+IF(N('APA Inputs'!$H$22)&gt;0,IF(CT$4=EDATE('APA Inputs'!$C$22,'APA Inputs'!$H$22-1),N('APA Inputs'!$G$22),0),0))*IF('APA Inputs'!$I$22="",1,'APA Inputs'!$I$22))</f>
        <v>0</v>
      </c>
      <c r="CU7" s="419" t="n">
        <f aca="false">IF('APA Inputs'!$C$22="",0,(IF(AND(CU$4&gt;='APA Inputs'!$C$22,CU$4&lt;EDATE('APA Inputs'!$C$22,N('APA Inputs'!$D$22))),'APA Inputs'!$J$22,0)+IF(N('APA Inputs'!$H$22)&gt;0,IF(CU$4=EDATE('APA Inputs'!$C$22,'APA Inputs'!$H$22-1),N('APA Inputs'!$G$22),0),0))*IF('APA Inputs'!$I$22="",1,'APA Inputs'!$I$22))</f>
        <v>0</v>
      </c>
      <c r="CV7" s="419" t="n">
        <f aca="false">IF('APA Inputs'!$C$22="",0,(IF(AND(CV$4&gt;='APA Inputs'!$C$22,CV$4&lt;EDATE('APA Inputs'!$C$22,N('APA Inputs'!$D$22))),'APA Inputs'!$J$22,0)+IF(N('APA Inputs'!$H$22)&gt;0,IF(CV$4=EDATE('APA Inputs'!$C$22,'APA Inputs'!$H$22-1),N('APA Inputs'!$G$22),0),0))*IF('APA Inputs'!$I$22="",1,'APA Inputs'!$I$22))</f>
        <v>0</v>
      </c>
      <c r="CW7" s="419" t="n">
        <f aca="false">IF('APA Inputs'!$C$22="",0,(IF(AND(CW$4&gt;='APA Inputs'!$C$22,CW$4&lt;EDATE('APA Inputs'!$C$22,N('APA Inputs'!$D$22))),'APA Inputs'!$J$22,0)+IF(N('APA Inputs'!$H$22)&gt;0,IF(CW$4=EDATE('APA Inputs'!$C$22,'APA Inputs'!$H$22-1),N('APA Inputs'!$G$22),0),0))*IF('APA Inputs'!$I$22="",1,'APA Inputs'!$I$22))</f>
        <v>0</v>
      </c>
      <c r="CX7" s="419" t="n">
        <f aca="false">IF('APA Inputs'!$C$22="",0,(IF(AND(CX$4&gt;='APA Inputs'!$C$22,CX$4&lt;EDATE('APA Inputs'!$C$22,N('APA Inputs'!$D$22))),'APA Inputs'!$J$22,0)+IF(N('APA Inputs'!$H$22)&gt;0,IF(CX$4=EDATE('APA Inputs'!$C$22,'APA Inputs'!$H$22-1),N('APA Inputs'!$G$22),0),0))*IF('APA Inputs'!$I$22="",1,'APA Inputs'!$I$22))</f>
        <v>0</v>
      </c>
      <c r="CY7" s="419" t="n">
        <f aca="false">IF('APA Inputs'!$C$22="",0,(IF(AND(CY$4&gt;='APA Inputs'!$C$22,CY$4&lt;EDATE('APA Inputs'!$C$22,N('APA Inputs'!$D$22))),'APA Inputs'!$J$22,0)+IF(N('APA Inputs'!$H$22)&gt;0,IF(CY$4=EDATE('APA Inputs'!$C$22,'APA Inputs'!$H$22-1),N('APA Inputs'!$G$22),0),0))*IF('APA Inputs'!$I$22="",1,'APA Inputs'!$I$22))</f>
        <v>0</v>
      </c>
      <c r="CZ7" s="419" t="n">
        <f aca="false">IF('APA Inputs'!$C$22="",0,(IF(AND(CZ$4&gt;='APA Inputs'!$C$22,CZ$4&lt;EDATE('APA Inputs'!$C$22,N('APA Inputs'!$D$22))),'APA Inputs'!$J$22,0)+IF(N('APA Inputs'!$H$22)&gt;0,IF(CZ$4=EDATE('APA Inputs'!$C$22,'APA Inputs'!$H$22-1),N('APA Inputs'!$G$22),0),0))*IF('APA Inputs'!$I$22="",1,'APA Inputs'!$I$22))</f>
        <v>0</v>
      </c>
      <c r="DA7" s="419" t="n">
        <f aca="false">IF('APA Inputs'!$C$22="",0,(IF(AND(DA$4&gt;='APA Inputs'!$C$22,DA$4&lt;EDATE('APA Inputs'!$C$22,N('APA Inputs'!$D$22))),'APA Inputs'!$J$22,0)+IF(N('APA Inputs'!$H$22)&gt;0,IF(DA$4=EDATE('APA Inputs'!$C$22,'APA Inputs'!$H$22-1),N('APA Inputs'!$G$22),0),0))*IF('APA Inputs'!$I$22="",1,'APA Inputs'!$I$22))</f>
        <v>0</v>
      </c>
      <c r="DB7" s="419" t="n">
        <f aca="false">IF('APA Inputs'!$C$22="",0,(IF(AND(DB$4&gt;='APA Inputs'!$C$22,DB$4&lt;EDATE('APA Inputs'!$C$22,N('APA Inputs'!$D$22))),'APA Inputs'!$J$22,0)+IF(N('APA Inputs'!$H$22)&gt;0,IF(DB$4=EDATE('APA Inputs'!$C$22,'APA Inputs'!$H$22-1),N('APA Inputs'!$G$22),0),0))*IF('APA Inputs'!$I$22="",1,'APA Inputs'!$I$22))</f>
        <v>0</v>
      </c>
      <c r="DC7" s="419" t="n">
        <f aca="false">IF('APA Inputs'!$C$22="",0,(IF(AND(DC$4&gt;='APA Inputs'!$C$22,DC$4&lt;EDATE('APA Inputs'!$C$22,N('APA Inputs'!$D$22))),'APA Inputs'!$J$22,0)+IF(N('APA Inputs'!$H$22)&gt;0,IF(DC$4=EDATE('APA Inputs'!$C$22,'APA Inputs'!$H$22-1),N('APA Inputs'!$G$22),0),0))*IF('APA Inputs'!$I$22="",1,'APA Inputs'!$I$22))</f>
        <v>0</v>
      </c>
      <c r="DD7" s="419" t="n">
        <f aca="false">IF('APA Inputs'!$C$22="",0,(IF(AND(DD$4&gt;='APA Inputs'!$C$22,DD$4&lt;EDATE('APA Inputs'!$C$22,N('APA Inputs'!$D$22))),'APA Inputs'!$J$22,0)+IF(N('APA Inputs'!$H$22)&gt;0,IF(DD$4=EDATE('APA Inputs'!$C$22,'APA Inputs'!$H$22-1),N('APA Inputs'!$G$22),0),0))*IF('APA Inputs'!$I$22="",1,'APA Inputs'!$I$22))</f>
        <v>0</v>
      </c>
      <c r="DE7" s="419"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19" t="n">
        <f aca="false">IF('APA Inputs'!$C$23="",0,(IF(AND(B$4&gt;='APA Inputs'!$C$23,B$4&lt;EDATE('APA Inputs'!$C$23,N('APA Inputs'!$D$23))),'APA Inputs'!$J$23,0)+IF(N('APA Inputs'!$H$23)&gt;0,IF(B$4=EDATE('APA Inputs'!$C$23,'APA Inputs'!$H$23-1),N('APA Inputs'!$G$23),0),0))*IF('APA Inputs'!$I$23="",1,'APA Inputs'!$I$23))</f>
        <v>0</v>
      </c>
      <c r="C8" s="419" t="n">
        <f aca="false">IF('APA Inputs'!$C$23="",0,(IF(AND(C$4&gt;='APA Inputs'!$C$23,C$4&lt;EDATE('APA Inputs'!$C$23,N('APA Inputs'!$D$23))),'APA Inputs'!$J$23,0)+IF(N('APA Inputs'!$H$23)&gt;0,IF(C$4=EDATE('APA Inputs'!$C$23,'APA Inputs'!$H$23-1),N('APA Inputs'!$G$23),0),0))*IF('APA Inputs'!$I$23="",1,'APA Inputs'!$I$23))</f>
        <v>0</v>
      </c>
      <c r="D8" s="419" t="n">
        <f aca="false">IF('APA Inputs'!$C$23="",0,(IF(AND(D$4&gt;='APA Inputs'!$C$23,D$4&lt;EDATE('APA Inputs'!$C$23,N('APA Inputs'!$D$23))),'APA Inputs'!$J$23,0)+IF(N('APA Inputs'!$H$23)&gt;0,IF(D$4=EDATE('APA Inputs'!$C$23,'APA Inputs'!$H$23-1),N('APA Inputs'!$G$23),0),0))*IF('APA Inputs'!$I$23="",1,'APA Inputs'!$I$23))</f>
        <v>0</v>
      </c>
      <c r="E8" s="419" t="n">
        <f aca="false">IF('APA Inputs'!$C$23="",0,(IF(AND(E$4&gt;='APA Inputs'!$C$23,E$4&lt;EDATE('APA Inputs'!$C$23,N('APA Inputs'!$D$23))),'APA Inputs'!$J$23,0)+IF(N('APA Inputs'!$H$23)&gt;0,IF(E$4=EDATE('APA Inputs'!$C$23,'APA Inputs'!$H$23-1),N('APA Inputs'!$G$23),0),0))*IF('APA Inputs'!$I$23="",1,'APA Inputs'!$I$23))</f>
        <v>0</v>
      </c>
      <c r="F8" s="419" t="n">
        <f aca="false">IF('APA Inputs'!$C$23="",0,(IF(AND(F$4&gt;='APA Inputs'!$C$23,F$4&lt;EDATE('APA Inputs'!$C$23,N('APA Inputs'!$D$23))),'APA Inputs'!$J$23,0)+IF(N('APA Inputs'!$H$23)&gt;0,IF(F$4=EDATE('APA Inputs'!$C$23,'APA Inputs'!$H$23-1),N('APA Inputs'!$G$23),0),0))*IF('APA Inputs'!$I$23="",1,'APA Inputs'!$I$23))</f>
        <v>0</v>
      </c>
      <c r="G8" s="419" t="n">
        <f aca="false">IF('APA Inputs'!$C$23="",0,(IF(AND(G$4&gt;='APA Inputs'!$C$23,G$4&lt;EDATE('APA Inputs'!$C$23,N('APA Inputs'!$D$23))),'APA Inputs'!$J$23,0)+IF(N('APA Inputs'!$H$23)&gt;0,IF(G$4=EDATE('APA Inputs'!$C$23,'APA Inputs'!$H$23-1),N('APA Inputs'!$G$23),0),0))*IF('APA Inputs'!$I$23="",1,'APA Inputs'!$I$23))</f>
        <v>0</v>
      </c>
      <c r="H8" s="419" t="n">
        <f aca="false">IF('APA Inputs'!$C$23="",0,(IF(AND(H$4&gt;='APA Inputs'!$C$23,H$4&lt;EDATE('APA Inputs'!$C$23,N('APA Inputs'!$D$23))),'APA Inputs'!$J$23,0)+IF(N('APA Inputs'!$H$23)&gt;0,IF(H$4=EDATE('APA Inputs'!$C$23,'APA Inputs'!$H$23-1),N('APA Inputs'!$G$23),0),0))*IF('APA Inputs'!$I$23="",1,'APA Inputs'!$I$23))</f>
        <v>0</v>
      </c>
      <c r="I8" s="419" t="n">
        <f aca="false">IF('APA Inputs'!$C$23="",0,(IF(AND(I$4&gt;='APA Inputs'!$C$23,I$4&lt;EDATE('APA Inputs'!$C$23,N('APA Inputs'!$D$23))),'APA Inputs'!$J$23,0)+IF(N('APA Inputs'!$H$23)&gt;0,IF(I$4=EDATE('APA Inputs'!$C$23,'APA Inputs'!$H$23-1),N('APA Inputs'!$G$23),0),0))*IF('APA Inputs'!$I$23="",1,'APA Inputs'!$I$23))</f>
        <v>4166.66</v>
      </c>
      <c r="J8" s="419" t="n">
        <f aca="false">IF('APA Inputs'!$C$23="",0,(IF(AND(J$4&gt;='APA Inputs'!$C$23,J$4&lt;EDATE('APA Inputs'!$C$23,N('APA Inputs'!$D$23))),'APA Inputs'!$J$23,0)+IF(N('APA Inputs'!$H$23)&gt;0,IF(J$4=EDATE('APA Inputs'!$C$23,'APA Inputs'!$H$23-1),N('APA Inputs'!$G$23),0),0))*IF('APA Inputs'!$I$23="",1,'APA Inputs'!$I$23))</f>
        <v>4166.66</v>
      </c>
      <c r="K8" s="419" t="n">
        <f aca="false">IF('APA Inputs'!$C$23="",0,(IF(AND(K$4&gt;='APA Inputs'!$C$23,K$4&lt;EDATE('APA Inputs'!$C$23,N('APA Inputs'!$D$23))),'APA Inputs'!$J$23,0)+IF(N('APA Inputs'!$H$23)&gt;0,IF(K$4=EDATE('APA Inputs'!$C$23,'APA Inputs'!$H$23-1),N('APA Inputs'!$G$23),0),0))*IF('APA Inputs'!$I$23="",1,'APA Inputs'!$I$23))</f>
        <v>4166.66</v>
      </c>
      <c r="L8" s="419" t="n">
        <f aca="false">IF('APA Inputs'!$C$23="",0,(IF(AND(L$4&gt;='APA Inputs'!$C$23,L$4&lt;EDATE('APA Inputs'!$C$23,N('APA Inputs'!$D$23))),'APA Inputs'!$J$23,0)+IF(N('APA Inputs'!$H$23)&gt;0,IF(L$4=EDATE('APA Inputs'!$C$23,'APA Inputs'!$H$23-1),N('APA Inputs'!$G$23),0),0))*IF('APA Inputs'!$I$23="",1,'APA Inputs'!$I$23))</f>
        <v>4166.66</v>
      </c>
      <c r="M8" s="419" t="n">
        <f aca="false">IF('APA Inputs'!$C$23="",0,(IF(AND(M$4&gt;='APA Inputs'!$C$23,M$4&lt;EDATE('APA Inputs'!$C$23,N('APA Inputs'!$D$23))),'APA Inputs'!$J$23,0)+IF(N('APA Inputs'!$H$23)&gt;0,IF(M$4=EDATE('APA Inputs'!$C$23,'APA Inputs'!$H$23-1),N('APA Inputs'!$G$23),0),0))*IF('APA Inputs'!$I$23="",1,'APA Inputs'!$I$23))</f>
        <v>4166.66</v>
      </c>
      <c r="N8" s="419" t="n">
        <f aca="false">IF('APA Inputs'!$C$23="",0,(IF(AND(N$4&gt;='APA Inputs'!$C$23,N$4&lt;EDATE('APA Inputs'!$C$23,N('APA Inputs'!$D$23))),'APA Inputs'!$J$23,0)+IF(N('APA Inputs'!$H$23)&gt;0,IF(N$4=EDATE('APA Inputs'!$C$23,'APA Inputs'!$H$23-1),N('APA Inputs'!$G$23),0),0))*IF('APA Inputs'!$I$23="",1,'APA Inputs'!$I$23))</f>
        <v>4166.66</v>
      </c>
      <c r="O8" s="419" t="n">
        <f aca="false">IF('APA Inputs'!$C$23="",0,(IF(AND(O$4&gt;='APA Inputs'!$C$23,O$4&lt;EDATE('APA Inputs'!$C$23,N('APA Inputs'!$D$23))),'APA Inputs'!$J$23,0)+IF(N('APA Inputs'!$H$23)&gt;0,IF(O$4=EDATE('APA Inputs'!$C$23,'APA Inputs'!$H$23-1),N('APA Inputs'!$G$23),0),0))*IF('APA Inputs'!$I$23="",1,'APA Inputs'!$I$23))</f>
        <v>4166.66</v>
      </c>
      <c r="P8" s="419" t="n">
        <f aca="false">IF('APA Inputs'!$C$23="",0,(IF(AND(P$4&gt;='APA Inputs'!$C$23,P$4&lt;EDATE('APA Inputs'!$C$23,N('APA Inputs'!$D$23))),'APA Inputs'!$J$23,0)+IF(N('APA Inputs'!$H$23)&gt;0,IF(P$4=EDATE('APA Inputs'!$C$23,'APA Inputs'!$H$23-1),N('APA Inputs'!$G$23),0),0))*IF('APA Inputs'!$I$23="",1,'APA Inputs'!$I$23))</f>
        <v>4166.66</v>
      </c>
      <c r="Q8" s="419" t="n">
        <f aca="false">IF('APA Inputs'!$C$23="",0,(IF(AND(Q$4&gt;='APA Inputs'!$C$23,Q$4&lt;EDATE('APA Inputs'!$C$23,N('APA Inputs'!$D$23))),'APA Inputs'!$J$23,0)+IF(N('APA Inputs'!$H$23)&gt;0,IF(Q$4=EDATE('APA Inputs'!$C$23,'APA Inputs'!$H$23-1),N('APA Inputs'!$G$23),0),0))*IF('APA Inputs'!$I$23="",1,'APA Inputs'!$I$23))</f>
        <v>4166.66</v>
      </c>
      <c r="R8" s="419" t="n">
        <f aca="false">IF('APA Inputs'!$C$23="",0,(IF(AND(R$4&gt;='APA Inputs'!$C$23,R$4&lt;EDATE('APA Inputs'!$C$23,N('APA Inputs'!$D$23))),'APA Inputs'!$J$23,0)+IF(N('APA Inputs'!$H$23)&gt;0,IF(R$4=EDATE('APA Inputs'!$C$23,'APA Inputs'!$H$23-1),N('APA Inputs'!$G$23),0),0))*IF('APA Inputs'!$I$23="",1,'APA Inputs'!$I$23))</f>
        <v>4166.66</v>
      </c>
      <c r="S8" s="419" t="n">
        <f aca="false">IF('APA Inputs'!$C$23="",0,(IF(AND(S$4&gt;='APA Inputs'!$C$23,S$4&lt;EDATE('APA Inputs'!$C$23,N('APA Inputs'!$D$23))),'APA Inputs'!$J$23,0)+IF(N('APA Inputs'!$H$23)&gt;0,IF(S$4=EDATE('APA Inputs'!$C$23,'APA Inputs'!$H$23-1),N('APA Inputs'!$G$23),0),0))*IF('APA Inputs'!$I$23="",1,'APA Inputs'!$I$23))</f>
        <v>4166.66</v>
      </c>
      <c r="T8" s="419" t="n">
        <f aca="false">IF('APA Inputs'!$C$23="",0,(IF(AND(T$4&gt;='APA Inputs'!$C$23,T$4&lt;EDATE('APA Inputs'!$C$23,N('APA Inputs'!$D$23))),'APA Inputs'!$J$23,0)+IF(N('APA Inputs'!$H$23)&gt;0,IF(T$4=EDATE('APA Inputs'!$C$23,'APA Inputs'!$H$23-1),N('APA Inputs'!$G$23),0),0))*IF('APA Inputs'!$I$23="",1,'APA Inputs'!$I$23))</f>
        <v>4166.66</v>
      </c>
      <c r="U8" s="419" t="n">
        <f aca="false">IF('APA Inputs'!$C$23="",0,(IF(AND(U$4&gt;='APA Inputs'!$C$23,U$4&lt;EDATE('APA Inputs'!$C$23,N('APA Inputs'!$D$23))),'APA Inputs'!$J$23,0)+IF(N('APA Inputs'!$H$23)&gt;0,IF(U$4=EDATE('APA Inputs'!$C$23,'APA Inputs'!$H$23-1),N('APA Inputs'!$G$23),0),0))*IF('APA Inputs'!$I$23="",1,'APA Inputs'!$I$23))</f>
        <v>4166.66</v>
      </c>
      <c r="V8" s="419" t="n">
        <f aca="false">IF('APA Inputs'!$C$23="",0,(IF(AND(V$4&gt;='APA Inputs'!$C$23,V$4&lt;EDATE('APA Inputs'!$C$23,N('APA Inputs'!$D$23))),'APA Inputs'!$J$23,0)+IF(N('APA Inputs'!$H$23)&gt;0,IF(V$4=EDATE('APA Inputs'!$C$23,'APA Inputs'!$H$23-1),N('APA Inputs'!$G$23),0),0))*IF('APA Inputs'!$I$23="",1,'APA Inputs'!$I$23))</f>
        <v>4166.66</v>
      </c>
      <c r="W8" s="419" t="n">
        <f aca="false">IF('APA Inputs'!$C$23="",0,(IF(AND(W$4&gt;='APA Inputs'!$C$23,W$4&lt;EDATE('APA Inputs'!$C$23,N('APA Inputs'!$D$23))),'APA Inputs'!$J$23,0)+IF(N('APA Inputs'!$H$23)&gt;0,IF(W$4=EDATE('APA Inputs'!$C$23,'APA Inputs'!$H$23-1),N('APA Inputs'!$G$23),0),0))*IF('APA Inputs'!$I$23="",1,'APA Inputs'!$I$23))</f>
        <v>4166.66</v>
      </c>
      <c r="X8" s="419" t="n">
        <f aca="false">IF('APA Inputs'!$C$23="",0,(IF(AND(X$4&gt;='APA Inputs'!$C$23,X$4&lt;EDATE('APA Inputs'!$C$23,N('APA Inputs'!$D$23))),'APA Inputs'!$J$23,0)+IF(N('APA Inputs'!$H$23)&gt;0,IF(X$4=EDATE('APA Inputs'!$C$23,'APA Inputs'!$H$23-1),N('APA Inputs'!$G$23),0),0))*IF('APA Inputs'!$I$23="",1,'APA Inputs'!$I$23))</f>
        <v>4166.66</v>
      </c>
      <c r="Y8" s="419" t="n">
        <f aca="false">IF('APA Inputs'!$C$23="",0,(IF(AND(Y$4&gt;='APA Inputs'!$C$23,Y$4&lt;EDATE('APA Inputs'!$C$23,N('APA Inputs'!$D$23))),'APA Inputs'!$J$23,0)+IF(N('APA Inputs'!$H$23)&gt;0,IF(Y$4=EDATE('APA Inputs'!$C$23,'APA Inputs'!$H$23-1),N('APA Inputs'!$G$23),0),0))*IF('APA Inputs'!$I$23="",1,'APA Inputs'!$I$23))</f>
        <v>4166.66</v>
      </c>
      <c r="Z8" s="419" t="n">
        <f aca="false">IF('APA Inputs'!$C$23="",0,(IF(AND(Z$4&gt;='APA Inputs'!$C$23,Z$4&lt;EDATE('APA Inputs'!$C$23,N('APA Inputs'!$D$23))),'APA Inputs'!$J$23,0)+IF(N('APA Inputs'!$H$23)&gt;0,IF(Z$4=EDATE('APA Inputs'!$C$23,'APA Inputs'!$H$23-1),N('APA Inputs'!$G$23),0),0))*IF('APA Inputs'!$I$23="",1,'APA Inputs'!$I$23))</f>
        <v>4166.66</v>
      </c>
      <c r="AA8" s="419" t="n">
        <f aca="false">IF('APA Inputs'!$C$23="",0,(IF(AND(AA$4&gt;='APA Inputs'!$C$23,AA$4&lt;EDATE('APA Inputs'!$C$23,N('APA Inputs'!$D$23))),'APA Inputs'!$J$23,0)+IF(N('APA Inputs'!$H$23)&gt;0,IF(AA$4=EDATE('APA Inputs'!$C$23,'APA Inputs'!$H$23-1),N('APA Inputs'!$G$23),0),0))*IF('APA Inputs'!$I$23="",1,'APA Inputs'!$I$23))</f>
        <v>4166.66</v>
      </c>
      <c r="AB8" s="419" t="n">
        <f aca="false">IF('APA Inputs'!$C$23="",0,(IF(AND(AB$4&gt;='APA Inputs'!$C$23,AB$4&lt;EDATE('APA Inputs'!$C$23,N('APA Inputs'!$D$23))),'APA Inputs'!$J$23,0)+IF(N('APA Inputs'!$H$23)&gt;0,IF(AB$4=EDATE('APA Inputs'!$C$23,'APA Inputs'!$H$23-1),N('APA Inputs'!$G$23),0),0))*IF('APA Inputs'!$I$23="",1,'APA Inputs'!$I$23))</f>
        <v>4166.66</v>
      </c>
      <c r="AC8" s="419" t="n">
        <f aca="false">IF('APA Inputs'!$C$23="",0,(IF(AND(AC$4&gt;='APA Inputs'!$C$23,AC$4&lt;EDATE('APA Inputs'!$C$23,N('APA Inputs'!$D$23))),'APA Inputs'!$J$23,0)+IF(N('APA Inputs'!$H$23)&gt;0,IF(AC$4=EDATE('APA Inputs'!$C$23,'APA Inputs'!$H$23-1),N('APA Inputs'!$G$23),0),0))*IF('APA Inputs'!$I$23="",1,'APA Inputs'!$I$23))</f>
        <v>4166.66</v>
      </c>
      <c r="AD8" s="419" t="n">
        <f aca="false">IF('APA Inputs'!$C$23="",0,(IF(AND(AD$4&gt;='APA Inputs'!$C$23,AD$4&lt;EDATE('APA Inputs'!$C$23,N('APA Inputs'!$D$23))),'APA Inputs'!$J$23,0)+IF(N('APA Inputs'!$H$23)&gt;0,IF(AD$4=EDATE('APA Inputs'!$C$23,'APA Inputs'!$H$23-1),N('APA Inputs'!$G$23),0),0))*IF('APA Inputs'!$I$23="",1,'APA Inputs'!$I$23))</f>
        <v>4166.66</v>
      </c>
      <c r="AE8" s="419" t="n">
        <f aca="false">IF('APA Inputs'!$C$23="",0,(IF(AND(AE$4&gt;='APA Inputs'!$C$23,AE$4&lt;EDATE('APA Inputs'!$C$23,N('APA Inputs'!$D$23))),'APA Inputs'!$J$23,0)+IF(N('APA Inputs'!$H$23)&gt;0,IF(AE$4=EDATE('APA Inputs'!$C$23,'APA Inputs'!$H$23-1),N('APA Inputs'!$G$23),0),0))*IF('APA Inputs'!$I$23="",1,'APA Inputs'!$I$23))</f>
        <v>4166.66</v>
      </c>
      <c r="AF8" s="419" t="n">
        <f aca="false">IF('APA Inputs'!$C$23="",0,(IF(AND(AF$4&gt;='APA Inputs'!$C$23,AF$4&lt;EDATE('APA Inputs'!$C$23,N('APA Inputs'!$D$23))),'APA Inputs'!$J$23,0)+IF(N('APA Inputs'!$H$23)&gt;0,IF(AF$4=EDATE('APA Inputs'!$C$23,'APA Inputs'!$H$23-1),N('APA Inputs'!$G$23),0),0))*IF('APA Inputs'!$I$23="",1,'APA Inputs'!$I$23))</f>
        <v>4166.66</v>
      </c>
      <c r="AG8" s="419" t="n">
        <f aca="false">IF('APA Inputs'!$C$23="",0,(IF(AND(AG$4&gt;='APA Inputs'!$C$23,AG$4&lt;EDATE('APA Inputs'!$C$23,N('APA Inputs'!$D$23))),'APA Inputs'!$J$23,0)+IF(N('APA Inputs'!$H$23)&gt;0,IF(AG$4=EDATE('APA Inputs'!$C$23,'APA Inputs'!$H$23-1),N('APA Inputs'!$G$23),0),0))*IF('APA Inputs'!$I$23="",1,'APA Inputs'!$I$23))</f>
        <v>0</v>
      </c>
      <c r="AH8" s="419" t="n">
        <f aca="false">IF('APA Inputs'!$C$23="",0,(IF(AND(AH$4&gt;='APA Inputs'!$C$23,AH$4&lt;EDATE('APA Inputs'!$C$23,N('APA Inputs'!$D$23))),'APA Inputs'!$J$23,0)+IF(N('APA Inputs'!$H$23)&gt;0,IF(AH$4=EDATE('APA Inputs'!$C$23,'APA Inputs'!$H$23-1),N('APA Inputs'!$G$23),0),0))*IF('APA Inputs'!$I$23="",1,'APA Inputs'!$I$23))</f>
        <v>0</v>
      </c>
      <c r="AI8" s="419" t="n">
        <f aca="false">IF('APA Inputs'!$C$23="",0,(IF(AND(AI$4&gt;='APA Inputs'!$C$23,AI$4&lt;EDATE('APA Inputs'!$C$23,N('APA Inputs'!$D$23))),'APA Inputs'!$J$23,0)+IF(N('APA Inputs'!$H$23)&gt;0,IF(AI$4=EDATE('APA Inputs'!$C$23,'APA Inputs'!$H$23-1),N('APA Inputs'!$G$23),0),0))*IF('APA Inputs'!$I$23="",1,'APA Inputs'!$I$23))</f>
        <v>0</v>
      </c>
      <c r="AJ8" s="419" t="n">
        <f aca="false">IF('APA Inputs'!$C$23="",0,(IF(AND(AJ$4&gt;='APA Inputs'!$C$23,AJ$4&lt;EDATE('APA Inputs'!$C$23,N('APA Inputs'!$D$23))),'APA Inputs'!$J$23,0)+IF(N('APA Inputs'!$H$23)&gt;0,IF(AJ$4=EDATE('APA Inputs'!$C$23,'APA Inputs'!$H$23-1),N('APA Inputs'!$G$23),0),0))*IF('APA Inputs'!$I$23="",1,'APA Inputs'!$I$23))</f>
        <v>0</v>
      </c>
      <c r="AK8" s="419" t="n">
        <f aca="false">IF('APA Inputs'!$C$23="",0,(IF(AND(AK$4&gt;='APA Inputs'!$C$23,AK$4&lt;EDATE('APA Inputs'!$C$23,N('APA Inputs'!$D$23))),'APA Inputs'!$J$23,0)+IF(N('APA Inputs'!$H$23)&gt;0,IF(AK$4=EDATE('APA Inputs'!$C$23,'APA Inputs'!$H$23-1),N('APA Inputs'!$G$23),0),0))*IF('APA Inputs'!$I$23="",1,'APA Inputs'!$I$23))</f>
        <v>0</v>
      </c>
      <c r="AL8" s="419" t="n">
        <f aca="false">IF('APA Inputs'!$C$23="",0,(IF(AND(AL$4&gt;='APA Inputs'!$C$23,AL$4&lt;EDATE('APA Inputs'!$C$23,N('APA Inputs'!$D$23))),'APA Inputs'!$J$23,0)+IF(N('APA Inputs'!$H$23)&gt;0,IF(AL$4=EDATE('APA Inputs'!$C$23,'APA Inputs'!$H$23-1),N('APA Inputs'!$G$23),0),0))*IF('APA Inputs'!$I$23="",1,'APA Inputs'!$I$23))</f>
        <v>0</v>
      </c>
      <c r="AM8" s="419" t="n">
        <f aca="false">IF('APA Inputs'!$C$23="",0,(IF(AND(AM$4&gt;='APA Inputs'!$C$23,AM$4&lt;EDATE('APA Inputs'!$C$23,N('APA Inputs'!$D$23))),'APA Inputs'!$J$23,0)+IF(N('APA Inputs'!$H$23)&gt;0,IF(AM$4=EDATE('APA Inputs'!$C$23,'APA Inputs'!$H$23-1),N('APA Inputs'!$G$23),0),0))*IF('APA Inputs'!$I$23="",1,'APA Inputs'!$I$23))</f>
        <v>0</v>
      </c>
      <c r="AN8" s="419" t="n">
        <f aca="false">IF('APA Inputs'!$C$23="",0,(IF(AND(AN$4&gt;='APA Inputs'!$C$23,AN$4&lt;EDATE('APA Inputs'!$C$23,N('APA Inputs'!$D$23))),'APA Inputs'!$J$23,0)+IF(N('APA Inputs'!$H$23)&gt;0,IF(AN$4=EDATE('APA Inputs'!$C$23,'APA Inputs'!$H$23-1),N('APA Inputs'!$G$23),0),0))*IF('APA Inputs'!$I$23="",1,'APA Inputs'!$I$23))</f>
        <v>0</v>
      </c>
      <c r="AO8" s="419" t="n">
        <f aca="false">IF('APA Inputs'!$C$23="",0,(IF(AND(AO$4&gt;='APA Inputs'!$C$23,AO$4&lt;EDATE('APA Inputs'!$C$23,N('APA Inputs'!$D$23))),'APA Inputs'!$J$23,0)+IF(N('APA Inputs'!$H$23)&gt;0,IF(AO$4=EDATE('APA Inputs'!$C$23,'APA Inputs'!$H$23-1),N('APA Inputs'!$G$23),0),0))*IF('APA Inputs'!$I$23="",1,'APA Inputs'!$I$23))</f>
        <v>0</v>
      </c>
      <c r="AP8" s="419" t="n">
        <f aca="false">IF('APA Inputs'!$C$23="",0,(IF(AND(AP$4&gt;='APA Inputs'!$C$23,AP$4&lt;EDATE('APA Inputs'!$C$23,N('APA Inputs'!$D$23))),'APA Inputs'!$J$23,0)+IF(N('APA Inputs'!$H$23)&gt;0,IF(AP$4=EDATE('APA Inputs'!$C$23,'APA Inputs'!$H$23-1),N('APA Inputs'!$G$23),0),0))*IF('APA Inputs'!$I$23="",1,'APA Inputs'!$I$23))</f>
        <v>0</v>
      </c>
      <c r="AQ8" s="419" t="n">
        <f aca="false">IF('APA Inputs'!$C$23="",0,(IF(AND(AQ$4&gt;='APA Inputs'!$C$23,AQ$4&lt;EDATE('APA Inputs'!$C$23,N('APA Inputs'!$D$23))),'APA Inputs'!$J$23,0)+IF(N('APA Inputs'!$H$23)&gt;0,IF(AQ$4=EDATE('APA Inputs'!$C$23,'APA Inputs'!$H$23-1),N('APA Inputs'!$G$23),0),0))*IF('APA Inputs'!$I$23="",1,'APA Inputs'!$I$23))</f>
        <v>0</v>
      </c>
      <c r="AR8" s="419" t="n">
        <f aca="false">IF('APA Inputs'!$C$23="",0,(IF(AND(AR$4&gt;='APA Inputs'!$C$23,AR$4&lt;EDATE('APA Inputs'!$C$23,N('APA Inputs'!$D$23))),'APA Inputs'!$J$23,0)+IF(N('APA Inputs'!$H$23)&gt;0,IF(AR$4=EDATE('APA Inputs'!$C$23,'APA Inputs'!$H$23-1),N('APA Inputs'!$G$23),0),0))*IF('APA Inputs'!$I$23="",1,'APA Inputs'!$I$23))</f>
        <v>0</v>
      </c>
      <c r="AS8" s="419" t="n">
        <f aca="false">IF('APA Inputs'!$C$23="",0,(IF(AND(AS$4&gt;='APA Inputs'!$C$23,AS$4&lt;EDATE('APA Inputs'!$C$23,N('APA Inputs'!$D$23))),'APA Inputs'!$J$23,0)+IF(N('APA Inputs'!$H$23)&gt;0,IF(AS$4=EDATE('APA Inputs'!$C$23,'APA Inputs'!$H$23-1),N('APA Inputs'!$G$23),0),0))*IF('APA Inputs'!$I$23="",1,'APA Inputs'!$I$23))</f>
        <v>0</v>
      </c>
      <c r="AT8" s="419" t="n">
        <f aca="false">IF('APA Inputs'!$C$23="",0,(IF(AND(AT$4&gt;='APA Inputs'!$C$23,AT$4&lt;EDATE('APA Inputs'!$C$23,N('APA Inputs'!$D$23))),'APA Inputs'!$J$23,0)+IF(N('APA Inputs'!$H$23)&gt;0,IF(AT$4=EDATE('APA Inputs'!$C$23,'APA Inputs'!$H$23-1),N('APA Inputs'!$G$23),0),0))*IF('APA Inputs'!$I$23="",1,'APA Inputs'!$I$23))</f>
        <v>0</v>
      </c>
      <c r="AU8" s="419" t="n">
        <f aca="false">IF('APA Inputs'!$C$23="",0,(IF(AND(AU$4&gt;='APA Inputs'!$C$23,AU$4&lt;EDATE('APA Inputs'!$C$23,N('APA Inputs'!$D$23))),'APA Inputs'!$J$23,0)+IF(N('APA Inputs'!$H$23)&gt;0,IF(AU$4=EDATE('APA Inputs'!$C$23,'APA Inputs'!$H$23-1),N('APA Inputs'!$G$23),0),0))*IF('APA Inputs'!$I$23="",1,'APA Inputs'!$I$23))</f>
        <v>0</v>
      </c>
      <c r="AV8" s="419" t="n">
        <f aca="false">IF('APA Inputs'!$C$23="",0,(IF(AND(AV$4&gt;='APA Inputs'!$C$23,AV$4&lt;EDATE('APA Inputs'!$C$23,N('APA Inputs'!$D$23))),'APA Inputs'!$J$23,0)+IF(N('APA Inputs'!$H$23)&gt;0,IF(AV$4=EDATE('APA Inputs'!$C$23,'APA Inputs'!$H$23-1),N('APA Inputs'!$G$23),0),0))*IF('APA Inputs'!$I$23="",1,'APA Inputs'!$I$23))</f>
        <v>0</v>
      </c>
      <c r="AW8" s="419" t="n">
        <f aca="false">IF('APA Inputs'!$C$23="",0,(IF(AND(AW$4&gt;='APA Inputs'!$C$23,AW$4&lt;EDATE('APA Inputs'!$C$23,N('APA Inputs'!$D$23))),'APA Inputs'!$J$23,0)+IF(N('APA Inputs'!$H$23)&gt;0,IF(AW$4=EDATE('APA Inputs'!$C$23,'APA Inputs'!$H$23-1),N('APA Inputs'!$G$23),0),0))*IF('APA Inputs'!$I$23="",1,'APA Inputs'!$I$23))</f>
        <v>0</v>
      </c>
      <c r="AX8" s="419" t="n">
        <f aca="false">IF('APA Inputs'!$C$23="",0,(IF(AND(AX$4&gt;='APA Inputs'!$C$23,AX$4&lt;EDATE('APA Inputs'!$C$23,N('APA Inputs'!$D$23))),'APA Inputs'!$J$23,0)+IF(N('APA Inputs'!$H$23)&gt;0,IF(AX$4=EDATE('APA Inputs'!$C$23,'APA Inputs'!$H$23-1),N('APA Inputs'!$G$23),0),0))*IF('APA Inputs'!$I$23="",1,'APA Inputs'!$I$23))</f>
        <v>0</v>
      </c>
      <c r="AY8" s="419" t="n">
        <f aca="false">IF('APA Inputs'!$C$23="",0,(IF(AND(AY$4&gt;='APA Inputs'!$C$23,AY$4&lt;EDATE('APA Inputs'!$C$23,N('APA Inputs'!$D$23))),'APA Inputs'!$J$23,0)+IF(N('APA Inputs'!$H$23)&gt;0,IF(AY$4=EDATE('APA Inputs'!$C$23,'APA Inputs'!$H$23-1),N('APA Inputs'!$G$23),0),0))*IF('APA Inputs'!$I$23="",1,'APA Inputs'!$I$23))</f>
        <v>0</v>
      </c>
      <c r="AZ8" s="419" t="n">
        <f aca="false">IF('APA Inputs'!$C$23="",0,(IF(AND(AZ$4&gt;='APA Inputs'!$C$23,AZ$4&lt;EDATE('APA Inputs'!$C$23,N('APA Inputs'!$D$23))),'APA Inputs'!$J$23,0)+IF(N('APA Inputs'!$H$23)&gt;0,IF(AZ$4=EDATE('APA Inputs'!$C$23,'APA Inputs'!$H$23-1),N('APA Inputs'!$G$23),0),0))*IF('APA Inputs'!$I$23="",1,'APA Inputs'!$I$23))</f>
        <v>0</v>
      </c>
      <c r="BA8" s="419" t="n">
        <f aca="false">IF('APA Inputs'!$C$23="",0,(IF(AND(BA$4&gt;='APA Inputs'!$C$23,BA$4&lt;EDATE('APA Inputs'!$C$23,N('APA Inputs'!$D$23))),'APA Inputs'!$J$23,0)+IF(N('APA Inputs'!$H$23)&gt;0,IF(BA$4=EDATE('APA Inputs'!$C$23,'APA Inputs'!$H$23-1),N('APA Inputs'!$G$23),0),0))*IF('APA Inputs'!$I$23="",1,'APA Inputs'!$I$23))</f>
        <v>0</v>
      </c>
      <c r="BB8" s="419" t="n">
        <f aca="false">IF('APA Inputs'!$C$23="",0,(IF(AND(BB$4&gt;='APA Inputs'!$C$23,BB$4&lt;EDATE('APA Inputs'!$C$23,N('APA Inputs'!$D$23))),'APA Inputs'!$J$23,0)+IF(N('APA Inputs'!$H$23)&gt;0,IF(BB$4=EDATE('APA Inputs'!$C$23,'APA Inputs'!$H$23-1),N('APA Inputs'!$G$23),0),0))*IF('APA Inputs'!$I$23="",1,'APA Inputs'!$I$23))</f>
        <v>0</v>
      </c>
      <c r="BC8" s="419" t="n">
        <f aca="false">IF('APA Inputs'!$C$23="",0,(IF(AND(BC$4&gt;='APA Inputs'!$C$23,BC$4&lt;EDATE('APA Inputs'!$C$23,N('APA Inputs'!$D$23))),'APA Inputs'!$J$23,0)+IF(N('APA Inputs'!$H$23)&gt;0,IF(BC$4=EDATE('APA Inputs'!$C$23,'APA Inputs'!$H$23-1),N('APA Inputs'!$G$23),0),0))*IF('APA Inputs'!$I$23="",1,'APA Inputs'!$I$23))</f>
        <v>0</v>
      </c>
      <c r="BD8" s="419" t="n">
        <f aca="false">IF('APA Inputs'!$C$23="",0,(IF(AND(BD$4&gt;='APA Inputs'!$C$23,BD$4&lt;EDATE('APA Inputs'!$C$23,N('APA Inputs'!$D$23))),'APA Inputs'!$J$23,0)+IF(N('APA Inputs'!$H$23)&gt;0,IF(BD$4=EDATE('APA Inputs'!$C$23,'APA Inputs'!$H$23-1),N('APA Inputs'!$G$23),0),0))*IF('APA Inputs'!$I$23="",1,'APA Inputs'!$I$23))</f>
        <v>0</v>
      </c>
      <c r="BE8" s="419" t="n">
        <f aca="false">IF('APA Inputs'!$C$23="",0,(IF(AND(BE$4&gt;='APA Inputs'!$C$23,BE$4&lt;EDATE('APA Inputs'!$C$23,N('APA Inputs'!$D$23))),'APA Inputs'!$J$23,0)+IF(N('APA Inputs'!$H$23)&gt;0,IF(BE$4=EDATE('APA Inputs'!$C$23,'APA Inputs'!$H$23-1),N('APA Inputs'!$G$23),0),0))*IF('APA Inputs'!$I$23="",1,'APA Inputs'!$I$23))</f>
        <v>0</v>
      </c>
      <c r="BF8" s="419" t="n">
        <f aca="false">IF('APA Inputs'!$C$23="",0,(IF(AND(BF$4&gt;='APA Inputs'!$C$23,BF$4&lt;EDATE('APA Inputs'!$C$23,N('APA Inputs'!$D$23))),'APA Inputs'!$J$23,0)+IF(N('APA Inputs'!$H$23)&gt;0,IF(BF$4=EDATE('APA Inputs'!$C$23,'APA Inputs'!$H$23-1),N('APA Inputs'!$G$23),0),0))*IF('APA Inputs'!$I$23="",1,'APA Inputs'!$I$23))</f>
        <v>0</v>
      </c>
      <c r="BG8" s="419" t="n">
        <f aca="false">IF('APA Inputs'!$C$23="",0,(IF(AND(BG$4&gt;='APA Inputs'!$C$23,BG$4&lt;EDATE('APA Inputs'!$C$23,N('APA Inputs'!$D$23))),'APA Inputs'!$J$23,0)+IF(N('APA Inputs'!$H$23)&gt;0,IF(BG$4=EDATE('APA Inputs'!$C$23,'APA Inputs'!$H$23-1),N('APA Inputs'!$G$23),0),0))*IF('APA Inputs'!$I$23="",1,'APA Inputs'!$I$23))</f>
        <v>0</v>
      </c>
      <c r="BH8" s="419" t="n">
        <f aca="false">IF('APA Inputs'!$C$23="",0,(IF(AND(BH$4&gt;='APA Inputs'!$C$23,BH$4&lt;EDATE('APA Inputs'!$C$23,N('APA Inputs'!$D$23))),'APA Inputs'!$J$23,0)+IF(N('APA Inputs'!$H$23)&gt;0,IF(BH$4=EDATE('APA Inputs'!$C$23,'APA Inputs'!$H$23-1),N('APA Inputs'!$G$23),0),0))*IF('APA Inputs'!$I$23="",1,'APA Inputs'!$I$23))</f>
        <v>0</v>
      </c>
      <c r="BI8" s="419" t="n">
        <f aca="false">IF('APA Inputs'!$C$23="",0,(IF(AND(BI$4&gt;='APA Inputs'!$C$23,BI$4&lt;EDATE('APA Inputs'!$C$23,N('APA Inputs'!$D$23))),'APA Inputs'!$J$23,0)+IF(N('APA Inputs'!$H$23)&gt;0,IF(BI$4=EDATE('APA Inputs'!$C$23,'APA Inputs'!$H$23-1),N('APA Inputs'!$G$23),0),0))*IF('APA Inputs'!$I$23="",1,'APA Inputs'!$I$23))</f>
        <v>0</v>
      </c>
      <c r="BJ8" s="419" t="n">
        <f aca="false">IF('APA Inputs'!$C$23="",0,(IF(AND(BJ$4&gt;='APA Inputs'!$C$23,BJ$4&lt;EDATE('APA Inputs'!$C$23,N('APA Inputs'!$D$23))),'APA Inputs'!$J$23,0)+IF(N('APA Inputs'!$H$23)&gt;0,IF(BJ$4=EDATE('APA Inputs'!$C$23,'APA Inputs'!$H$23-1),N('APA Inputs'!$G$23),0),0))*IF('APA Inputs'!$I$23="",1,'APA Inputs'!$I$23))</f>
        <v>0</v>
      </c>
      <c r="BK8" s="419" t="n">
        <f aca="false">IF('APA Inputs'!$C$23="",0,(IF(AND(BK$4&gt;='APA Inputs'!$C$23,BK$4&lt;EDATE('APA Inputs'!$C$23,N('APA Inputs'!$D$23))),'APA Inputs'!$J$23,0)+IF(N('APA Inputs'!$H$23)&gt;0,IF(BK$4=EDATE('APA Inputs'!$C$23,'APA Inputs'!$H$23-1),N('APA Inputs'!$G$23),0),0))*IF('APA Inputs'!$I$23="",1,'APA Inputs'!$I$23))</f>
        <v>0</v>
      </c>
      <c r="BL8" s="419" t="n">
        <f aca="false">IF('APA Inputs'!$C$23="",0,(IF(AND(BL$4&gt;='APA Inputs'!$C$23,BL$4&lt;EDATE('APA Inputs'!$C$23,N('APA Inputs'!$D$23))),'APA Inputs'!$J$23,0)+IF(N('APA Inputs'!$H$23)&gt;0,IF(BL$4=EDATE('APA Inputs'!$C$23,'APA Inputs'!$H$23-1),N('APA Inputs'!$G$23),0),0))*IF('APA Inputs'!$I$23="",1,'APA Inputs'!$I$23))</f>
        <v>0</v>
      </c>
      <c r="BM8" s="419" t="n">
        <f aca="false">IF('APA Inputs'!$C$23="",0,(IF(AND(BM$4&gt;='APA Inputs'!$C$23,BM$4&lt;EDATE('APA Inputs'!$C$23,N('APA Inputs'!$D$23))),'APA Inputs'!$J$23,0)+IF(N('APA Inputs'!$H$23)&gt;0,IF(BM$4=EDATE('APA Inputs'!$C$23,'APA Inputs'!$H$23-1),N('APA Inputs'!$G$23),0),0))*IF('APA Inputs'!$I$23="",1,'APA Inputs'!$I$23))</f>
        <v>0</v>
      </c>
      <c r="BN8" s="419" t="n">
        <f aca="false">IF('APA Inputs'!$C$23="",0,(IF(AND(BN$4&gt;='APA Inputs'!$C$23,BN$4&lt;EDATE('APA Inputs'!$C$23,N('APA Inputs'!$D$23))),'APA Inputs'!$J$23,0)+IF(N('APA Inputs'!$H$23)&gt;0,IF(BN$4=EDATE('APA Inputs'!$C$23,'APA Inputs'!$H$23-1),N('APA Inputs'!$G$23),0),0))*IF('APA Inputs'!$I$23="",1,'APA Inputs'!$I$23))</f>
        <v>0</v>
      </c>
      <c r="BO8" s="419" t="n">
        <f aca="false">IF('APA Inputs'!$C$23="",0,(IF(AND(BO$4&gt;='APA Inputs'!$C$23,BO$4&lt;EDATE('APA Inputs'!$C$23,N('APA Inputs'!$D$23))),'APA Inputs'!$J$23,0)+IF(N('APA Inputs'!$H$23)&gt;0,IF(BO$4=EDATE('APA Inputs'!$C$23,'APA Inputs'!$H$23-1),N('APA Inputs'!$G$23),0),0))*IF('APA Inputs'!$I$23="",1,'APA Inputs'!$I$23))</f>
        <v>0</v>
      </c>
      <c r="BP8" s="419" t="n">
        <f aca="false">IF('APA Inputs'!$C$23="",0,(IF(AND(BP$4&gt;='APA Inputs'!$C$23,BP$4&lt;EDATE('APA Inputs'!$C$23,N('APA Inputs'!$D$23))),'APA Inputs'!$J$23,0)+IF(N('APA Inputs'!$H$23)&gt;0,IF(BP$4=EDATE('APA Inputs'!$C$23,'APA Inputs'!$H$23-1),N('APA Inputs'!$G$23),0),0))*IF('APA Inputs'!$I$23="",1,'APA Inputs'!$I$23))</f>
        <v>0</v>
      </c>
      <c r="BQ8" s="419" t="n">
        <f aca="false">IF('APA Inputs'!$C$23="",0,(IF(AND(BQ$4&gt;='APA Inputs'!$C$23,BQ$4&lt;EDATE('APA Inputs'!$C$23,N('APA Inputs'!$D$23))),'APA Inputs'!$J$23,0)+IF(N('APA Inputs'!$H$23)&gt;0,IF(BQ$4=EDATE('APA Inputs'!$C$23,'APA Inputs'!$H$23-1),N('APA Inputs'!$G$23),0),0))*IF('APA Inputs'!$I$23="",1,'APA Inputs'!$I$23))</f>
        <v>0</v>
      </c>
      <c r="BR8" s="419" t="n">
        <f aca="false">IF('APA Inputs'!$C$23="",0,(IF(AND(BR$4&gt;='APA Inputs'!$C$23,BR$4&lt;EDATE('APA Inputs'!$C$23,N('APA Inputs'!$D$23))),'APA Inputs'!$J$23,0)+IF(N('APA Inputs'!$H$23)&gt;0,IF(BR$4=EDATE('APA Inputs'!$C$23,'APA Inputs'!$H$23-1),N('APA Inputs'!$G$23),0),0))*IF('APA Inputs'!$I$23="",1,'APA Inputs'!$I$23))</f>
        <v>0</v>
      </c>
      <c r="BS8" s="419" t="n">
        <f aca="false">IF('APA Inputs'!$C$23="",0,(IF(AND(BS$4&gt;='APA Inputs'!$C$23,BS$4&lt;EDATE('APA Inputs'!$C$23,N('APA Inputs'!$D$23))),'APA Inputs'!$J$23,0)+IF(N('APA Inputs'!$H$23)&gt;0,IF(BS$4=EDATE('APA Inputs'!$C$23,'APA Inputs'!$H$23-1),N('APA Inputs'!$G$23),0),0))*IF('APA Inputs'!$I$23="",1,'APA Inputs'!$I$23))</f>
        <v>0</v>
      </c>
      <c r="BT8" s="419" t="n">
        <f aca="false">IF('APA Inputs'!$C$23="",0,(IF(AND(BT$4&gt;='APA Inputs'!$C$23,BT$4&lt;EDATE('APA Inputs'!$C$23,N('APA Inputs'!$D$23))),'APA Inputs'!$J$23,0)+IF(N('APA Inputs'!$H$23)&gt;0,IF(BT$4=EDATE('APA Inputs'!$C$23,'APA Inputs'!$H$23-1),N('APA Inputs'!$G$23),0),0))*IF('APA Inputs'!$I$23="",1,'APA Inputs'!$I$23))</f>
        <v>0</v>
      </c>
      <c r="BU8" s="419" t="n">
        <f aca="false">IF('APA Inputs'!$C$23="",0,(IF(AND(BU$4&gt;='APA Inputs'!$C$23,BU$4&lt;EDATE('APA Inputs'!$C$23,N('APA Inputs'!$D$23))),'APA Inputs'!$J$23,0)+IF(N('APA Inputs'!$H$23)&gt;0,IF(BU$4=EDATE('APA Inputs'!$C$23,'APA Inputs'!$H$23-1),N('APA Inputs'!$G$23),0),0))*IF('APA Inputs'!$I$23="",1,'APA Inputs'!$I$23))</f>
        <v>0</v>
      </c>
      <c r="BV8" s="419" t="n">
        <f aca="false">IF('APA Inputs'!$C$23="",0,(IF(AND(BV$4&gt;='APA Inputs'!$C$23,BV$4&lt;EDATE('APA Inputs'!$C$23,N('APA Inputs'!$D$23))),'APA Inputs'!$J$23,0)+IF(N('APA Inputs'!$H$23)&gt;0,IF(BV$4=EDATE('APA Inputs'!$C$23,'APA Inputs'!$H$23-1),N('APA Inputs'!$G$23),0),0))*IF('APA Inputs'!$I$23="",1,'APA Inputs'!$I$23))</f>
        <v>0</v>
      </c>
      <c r="BW8" s="419" t="n">
        <f aca="false">IF('APA Inputs'!$C$23="",0,(IF(AND(BW$4&gt;='APA Inputs'!$C$23,BW$4&lt;EDATE('APA Inputs'!$C$23,N('APA Inputs'!$D$23))),'APA Inputs'!$J$23,0)+IF(N('APA Inputs'!$H$23)&gt;0,IF(BW$4=EDATE('APA Inputs'!$C$23,'APA Inputs'!$H$23-1),N('APA Inputs'!$G$23),0),0))*IF('APA Inputs'!$I$23="",1,'APA Inputs'!$I$23))</f>
        <v>0</v>
      </c>
      <c r="BX8" s="419" t="n">
        <f aca="false">IF('APA Inputs'!$C$23="",0,(IF(AND(BX$4&gt;='APA Inputs'!$C$23,BX$4&lt;EDATE('APA Inputs'!$C$23,N('APA Inputs'!$D$23))),'APA Inputs'!$J$23,0)+IF(N('APA Inputs'!$H$23)&gt;0,IF(BX$4=EDATE('APA Inputs'!$C$23,'APA Inputs'!$H$23-1),N('APA Inputs'!$G$23),0),0))*IF('APA Inputs'!$I$23="",1,'APA Inputs'!$I$23))</f>
        <v>0</v>
      </c>
      <c r="BY8" s="419" t="n">
        <f aca="false">IF('APA Inputs'!$C$23="",0,(IF(AND(BY$4&gt;='APA Inputs'!$C$23,BY$4&lt;EDATE('APA Inputs'!$C$23,N('APA Inputs'!$D$23))),'APA Inputs'!$J$23,0)+IF(N('APA Inputs'!$H$23)&gt;0,IF(BY$4=EDATE('APA Inputs'!$C$23,'APA Inputs'!$H$23-1),N('APA Inputs'!$G$23),0),0))*IF('APA Inputs'!$I$23="",1,'APA Inputs'!$I$23))</f>
        <v>0</v>
      </c>
      <c r="BZ8" s="419" t="n">
        <f aca="false">IF('APA Inputs'!$C$23="",0,(IF(AND(BZ$4&gt;='APA Inputs'!$C$23,BZ$4&lt;EDATE('APA Inputs'!$C$23,N('APA Inputs'!$D$23))),'APA Inputs'!$J$23,0)+IF(N('APA Inputs'!$H$23)&gt;0,IF(BZ$4=EDATE('APA Inputs'!$C$23,'APA Inputs'!$H$23-1),N('APA Inputs'!$G$23),0),0))*IF('APA Inputs'!$I$23="",1,'APA Inputs'!$I$23))</f>
        <v>0</v>
      </c>
      <c r="CA8" s="419" t="n">
        <f aca="false">IF('APA Inputs'!$C$23="",0,(IF(AND(CA$4&gt;='APA Inputs'!$C$23,CA$4&lt;EDATE('APA Inputs'!$C$23,N('APA Inputs'!$D$23))),'APA Inputs'!$J$23,0)+IF(N('APA Inputs'!$H$23)&gt;0,IF(CA$4=EDATE('APA Inputs'!$C$23,'APA Inputs'!$H$23-1),N('APA Inputs'!$G$23),0),0))*IF('APA Inputs'!$I$23="",1,'APA Inputs'!$I$23))</f>
        <v>0</v>
      </c>
      <c r="CB8" s="419" t="n">
        <f aca="false">IF('APA Inputs'!$C$23="",0,(IF(AND(CB$4&gt;='APA Inputs'!$C$23,CB$4&lt;EDATE('APA Inputs'!$C$23,N('APA Inputs'!$D$23))),'APA Inputs'!$J$23,0)+IF(N('APA Inputs'!$H$23)&gt;0,IF(CB$4=EDATE('APA Inputs'!$C$23,'APA Inputs'!$H$23-1),N('APA Inputs'!$G$23),0),0))*IF('APA Inputs'!$I$23="",1,'APA Inputs'!$I$23))</f>
        <v>0</v>
      </c>
      <c r="CC8" s="419" t="n">
        <f aca="false">IF('APA Inputs'!$C$23="",0,(IF(AND(CC$4&gt;='APA Inputs'!$C$23,CC$4&lt;EDATE('APA Inputs'!$C$23,N('APA Inputs'!$D$23))),'APA Inputs'!$J$23,0)+IF(N('APA Inputs'!$H$23)&gt;0,IF(CC$4=EDATE('APA Inputs'!$C$23,'APA Inputs'!$H$23-1),N('APA Inputs'!$G$23),0),0))*IF('APA Inputs'!$I$23="",1,'APA Inputs'!$I$23))</f>
        <v>0</v>
      </c>
      <c r="CD8" s="419" t="n">
        <f aca="false">IF('APA Inputs'!$C$23="",0,(IF(AND(CD$4&gt;='APA Inputs'!$C$23,CD$4&lt;EDATE('APA Inputs'!$C$23,N('APA Inputs'!$D$23))),'APA Inputs'!$J$23,0)+IF(N('APA Inputs'!$H$23)&gt;0,IF(CD$4=EDATE('APA Inputs'!$C$23,'APA Inputs'!$H$23-1),N('APA Inputs'!$G$23),0),0))*IF('APA Inputs'!$I$23="",1,'APA Inputs'!$I$23))</f>
        <v>0</v>
      </c>
      <c r="CE8" s="419" t="n">
        <f aca="false">IF('APA Inputs'!$C$23="",0,(IF(AND(CE$4&gt;='APA Inputs'!$C$23,CE$4&lt;EDATE('APA Inputs'!$C$23,N('APA Inputs'!$D$23))),'APA Inputs'!$J$23,0)+IF(N('APA Inputs'!$H$23)&gt;0,IF(CE$4=EDATE('APA Inputs'!$C$23,'APA Inputs'!$H$23-1),N('APA Inputs'!$G$23),0),0))*IF('APA Inputs'!$I$23="",1,'APA Inputs'!$I$23))</f>
        <v>0</v>
      </c>
      <c r="CF8" s="419" t="n">
        <f aca="false">IF('APA Inputs'!$C$23="",0,(IF(AND(CF$4&gt;='APA Inputs'!$C$23,CF$4&lt;EDATE('APA Inputs'!$C$23,N('APA Inputs'!$D$23))),'APA Inputs'!$J$23,0)+IF(N('APA Inputs'!$H$23)&gt;0,IF(CF$4=EDATE('APA Inputs'!$C$23,'APA Inputs'!$H$23-1),N('APA Inputs'!$G$23),0),0))*IF('APA Inputs'!$I$23="",1,'APA Inputs'!$I$23))</f>
        <v>0</v>
      </c>
      <c r="CG8" s="419" t="n">
        <f aca="false">IF('APA Inputs'!$C$23="",0,(IF(AND(CG$4&gt;='APA Inputs'!$C$23,CG$4&lt;EDATE('APA Inputs'!$C$23,N('APA Inputs'!$D$23))),'APA Inputs'!$J$23,0)+IF(N('APA Inputs'!$H$23)&gt;0,IF(CG$4=EDATE('APA Inputs'!$C$23,'APA Inputs'!$H$23-1),N('APA Inputs'!$G$23),0),0))*IF('APA Inputs'!$I$23="",1,'APA Inputs'!$I$23))</f>
        <v>0</v>
      </c>
      <c r="CH8" s="419" t="n">
        <f aca="false">IF('APA Inputs'!$C$23="",0,(IF(AND(CH$4&gt;='APA Inputs'!$C$23,CH$4&lt;EDATE('APA Inputs'!$C$23,N('APA Inputs'!$D$23))),'APA Inputs'!$J$23,0)+IF(N('APA Inputs'!$H$23)&gt;0,IF(CH$4=EDATE('APA Inputs'!$C$23,'APA Inputs'!$H$23-1),N('APA Inputs'!$G$23),0),0))*IF('APA Inputs'!$I$23="",1,'APA Inputs'!$I$23))</f>
        <v>0</v>
      </c>
      <c r="CI8" s="419" t="n">
        <f aca="false">IF('APA Inputs'!$C$23="",0,(IF(AND(CI$4&gt;='APA Inputs'!$C$23,CI$4&lt;EDATE('APA Inputs'!$C$23,N('APA Inputs'!$D$23))),'APA Inputs'!$J$23,0)+IF(N('APA Inputs'!$H$23)&gt;0,IF(CI$4=EDATE('APA Inputs'!$C$23,'APA Inputs'!$H$23-1),N('APA Inputs'!$G$23),0),0))*IF('APA Inputs'!$I$23="",1,'APA Inputs'!$I$23))</f>
        <v>0</v>
      </c>
      <c r="CJ8" s="419" t="n">
        <f aca="false">IF('APA Inputs'!$C$23="",0,(IF(AND(CJ$4&gt;='APA Inputs'!$C$23,CJ$4&lt;EDATE('APA Inputs'!$C$23,N('APA Inputs'!$D$23))),'APA Inputs'!$J$23,0)+IF(N('APA Inputs'!$H$23)&gt;0,IF(CJ$4=EDATE('APA Inputs'!$C$23,'APA Inputs'!$H$23-1),N('APA Inputs'!$G$23),0),0))*IF('APA Inputs'!$I$23="",1,'APA Inputs'!$I$23))</f>
        <v>0</v>
      </c>
      <c r="CK8" s="419" t="n">
        <f aca="false">IF('APA Inputs'!$C$23="",0,(IF(AND(CK$4&gt;='APA Inputs'!$C$23,CK$4&lt;EDATE('APA Inputs'!$C$23,N('APA Inputs'!$D$23))),'APA Inputs'!$J$23,0)+IF(N('APA Inputs'!$H$23)&gt;0,IF(CK$4=EDATE('APA Inputs'!$C$23,'APA Inputs'!$H$23-1),N('APA Inputs'!$G$23),0),0))*IF('APA Inputs'!$I$23="",1,'APA Inputs'!$I$23))</f>
        <v>0</v>
      </c>
      <c r="CL8" s="419" t="n">
        <f aca="false">IF('APA Inputs'!$C$23="",0,(IF(AND(CL$4&gt;='APA Inputs'!$C$23,CL$4&lt;EDATE('APA Inputs'!$C$23,N('APA Inputs'!$D$23))),'APA Inputs'!$J$23,0)+IF(N('APA Inputs'!$H$23)&gt;0,IF(CL$4=EDATE('APA Inputs'!$C$23,'APA Inputs'!$H$23-1),N('APA Inputs'!$G$23),0),0))*IF('APA Inputs'!$I$23="",1,'APA Inputs'!$I$23))</f>
        <v>0</v>
      </c>
      <c r="CM8" s="419" t="n">
        <f aca="false">IF('APA Inputs'!$C$23="",0,(IF(AND(CM$4&gt;='APA Inputs'!$C$23,CM$4&lt;EDATE('APA Inputs'!$C$23,N('APA Inputs'!$D$23))),'APA Inputs'!$J$23,0)+IF(N('APA Inputs'!$H$23)&gt;0,IF(CM$4=EDATE('APA Inputs'!$C$23,'APA Inputs'!$H$23-1),N('APA Inputs'!$G$23),0),0))*IF('APA Inputs'!$I$23="",1,'APA Inputs'!$I$23))</f>
        <v>0</v>
      </c>
      <c r="CN8" s="419" t="n">
        <f aca="false">IF('APA Inputs'!$C$23="",0,(IF(AND(CN$4&gt;='APA Inputs'!$C$23,CN$4&lt;EDATE('APA Inputs'!$C$23,N('APA Inputs'!$D$23))),'APA Inputs'!$J$23,0)+IF(N('APA Inputs'!$H$23)&gt;0,IF(CN$4=EDATE('APA Inputs'!$C$23,'APA Inputs'!$H$23-1),N('APA Inputs'!$G$23),0),0))*IF('APA Inputs'!$I$23="",1,'APA Inputs'!$I$23))</f>
        <v>0</v>
      </c>
      <c r="CO8" s="419" t="n">
        <f aca="false">IF('APA Inputs'!$C$23="",0,(IF(AND(CO$4&gt;='APA Inputs'!$C$23,CO$4&lt;EDATE('APA Inputs'!$C$23,N('APA Inputs'!$D$23))),'APA Inputs'!$J$23,0)+IF(N('APA Inputs'!$H$23)&gt;0,IF(CO$4=EDATE('APA Inputs'!$C$23,'APA Inputs'!$H$23-1),N('APA Inputs'!$G$23),0),0))*IF('APA Inputs'!$I$23="",1,'APA Inputs'!$I$23))</f>
        <v>0</v>
      </c>
      <c r="CP8" s="419" t="n">
        <f aca="false">IF('APA Inputs'!$C$23="",0,(IF(AND(CP$4&gt;='APA Inputs'!$C$23,CP$4&lt;EDATE('APA Inputs'!$C$23,N('APA Inputs'!$D$23))),'APA Inputs'!$J$23,0)+IF(N('APA Inputs'!$H$23)&gt;0,IF(CP$4=EDATE('APA Inputs'!$C$23,'APA Inputs'!$H$23-1),N('APA Inputs'!$G$23),0),0))*IF('APA Inputs'!$I$23="",1,'APA Inputs'!$I$23))</f>
        <v>0</v>
      </c>
      <c r="CQ8" s="419" t="n">
        <f aca="false">IF('APA Inputs'!$C$23="",0,(IF(AND(CQ$4&gt;='APA Inputs'!$C$23,CQ$4&lt;EDATE('APA Inputs'!$C$23,N('APA Inputs'!$D$23))),'APA Inputs'!$J$23,0)+IF(N('APA Inputs'!$H$23)&gt;0,IF(CQ$4=EDATE('APA Inputs'!$C$23,'APA Inputs'!$H$23-1),N('APA Inputs'!$G$23),0),0))*IF('APA Inputs'!$I$23="",1,'APA Inputs'!$I$23))</f>
        <v>0</v>
      </c>
      <c r="CR8" s="419" t="n">
        <f aca="false">IF('APA Inputs'!$C$23="",0,(IF(AND(CR$4&gt;='APA Inputs'!$C$23,CR$4&lt;EDATE('APA Inputs'!$C$23,N('APA Inputs'!$D$23))),'APA Inputs'!$J$23,0)+IF(N('APA Inputs'!$H$23)&gt;0,IF(CR$4=EDATE('APA Inputs'!$C$23,'APA Inputs'!$H$23-1),N('APA Inputs'!$G$23),0),0))*IF('APA Inputs'!$I$23="",1,'APA Inputs'!$I$23))</f>
        <v>0</v>
      </c>
      <c r="CS8" s="419" t="n">
        <f aca="false">IF('APA Inputs'!$C$23="",0,(IF(AND(CS$4&gt;='APA Inputs'!$C$23,CS$4&lt;EDATE('APA Inputs'!$C$23,N('APA Inputs'!$D$23))),'APA Inputs'!$J$23,0)+IF(N('APA Inputs'!$H$23)&gt;0,IF(CS$4=EDATE('APA Inputs'!$C$23,'APA Inputs'!$H$23-1),N('APA Inputs'!$G$23),0),0))*IF('APA Inputs'!$I$23="",1,'APA Inputs'!$I$23))</f>
        <v>0</v>
      </c>
      <c r="CT8" s="419" t="n">
        <f aca="false">IF('APA Inputs'!$C$23="",0,(IF(AND(CT$4&gt;='APA Inputs'!$C$23,CT$4&lt;EDATE('APA Inputs'!$C$23,N('APA Inputs'!$D$23))),'APA Inputs'!$J$23,0)+IF(N('APA Inputs'!$H$23)&gt;0,IF(CT$4=EDATE('APA Inputs'!$C$23,'APA Inputs'!$H$23-1),N('APA Inputs'!$G$23),0),0))*IF('APA Inputs'!$I$23="",1,'APA Inputs'!$I$23))</f>
        <v>0</v>
      </c>
      <c r="CU8" s="419" t="n">
        <f aca="false">IF('APA Inputs'!$C$23="",0,(IF(AND(CU$4&gt;='APA Inputs'!$C$23,CU$4&lt;EDATE('APA Inputs'!$C$23,N('APA Inputs'!$D$23))),'APA Inputs'!$J$23,0)+IF(N('APA Inputs'!$H$23)&gt;0,IF(CU$4=EDATE('APA Inputs'!$C$23,'APA Inputs'!$H$23-1),N('APA Inputs'!$G$23),0),0))*IF('APA Inputs'!$I$23="",1,'APA Inputs'!$I$23))</f>
        <v>0</v>
      </c>
      <c r="CV8" s="419" t="n">
        <f aca="false">IF('APA Inputs'!$C$23="",0,(IF(AND(CV$4&gt;='APA Inputs'!$C$23,CV$4&lt;EDATE('APA Inputs'!$C$23,N('APA Inputs'!$D$23))),'APA Inputs'!$J$23,0)+IF(N('APA Inputs'!$H$23)&gt;0,IF(CV$4=EDATE('APA Inputs'!$C$23,'APA Inputs'!$H$23-1),N('APA Inputs'!$G$23),0),0))*IF('APA Inputs'!$I$23="",1,'APA Inputs'!$I$23))</f>
        <v>0</v>
      </c>
      <c r="CW8" s="419" t="n">
        <f aca="false">IF('APA Inputs'!$C$23="",0,(IF(AND(CW$4&gt;='APA Inputs'!$C$23,CW$4&lt;EDATE('APA Inputs'!$C$23,N('APA Inputs'!$D$23))),'APA Inputs'!$J$23,0)+IF(N('APA Inputs'!$H$23)&gt;0,IF(CW$4=EDATE('APA Inputs'!$C$23,'APA Inputs'!$H$23-1),N('APA Inputs'!$G$23),0),0))*IF('APA Inputs'!$I$23="",1,'APA Inputs'!$I$23))</f>
        <v>0</v>
      </c>
      <c r="CX8" s="419" t="n">
        <f aca="false">IF('APA Inputs'!$C$23="",0,(IF(AND(CX$4&gt;='APA Inputs'!$C$23,CX$4&lt;EDATE('APA Inputs'!$C$23,N('APA Inputs'!$D$23))),'APA Inputs'!$J$23,0)+IF(N('APA Inputs'!$H$23)&gt;0,IF(CX$4=EDATE('APA Inputs'!$C$23,'APA Inputs'!$H$23-1),N('APA Inputs'!$G$23),0),0))*IF('APA Inputs'!$I$23="",1,'APA Inputs'!$I$23))</f>
        <v>0</v>
      </c>
      <c r="CY8" s="419" t="n">
        <f aca="false">IF('APA Inputs'!$C$23="",0,(IF(AND(CY$4&gt;='APA Inputs'!$C$23,CY$4&lt;EDATE('APA Inputs'!$C$23,N('APA Inputs'!$D$23))),'APA Inputs'!$J$23,0)+IF(N('APA Inputs'!$H$23)&gt;0,IF(CY$4=EDATE('APA Inputs'!$C$23,'APA Inputs'!$H$23-1),N('APA Inputs'!$G$23),0),0))*IF('APA Inputs'!$I$23="",1,'APA Inputs'!$I$23))</f>
        <v>0</v>
      </c>
      <c r="CZ8" s="419" t="n">
        <f aca="false">IF('APA Inputs'!$C$23="",0,(IF(AND(CZ$4&gt;='APA Inputs'!$C$23,CZ$4&lt;EDATE('APA Inputs'!$C$23,N('APA Inputs'!$D$23))),'APA Inputs'!$J$23,0)+IF(N('APA Inputs'!$H$23)&gt;0,IF(CZ$4=EDATE('APA Inputs'!$C$23,'APA Inputs'!$H$23-1),N('APA Inputs'!$G$23),0),0))*IF('APA Inputs'!$I$23="",1,'APA Inputs'!$I$23))</f>
        <v>0</v>
      </c>
      <c r="DA8" s="419" t="n">
        <f aca="false">IF('APA Inputs'!$C$23="",0,(IF(AND(DA$4&gt;='APA Inputs'!$C$23,DA$4&lt;EDATE('APA Inputs'!$C$23,N('APA Inputs'!$D$23))),'APA Inputs'!$J$23,0)+IF(N('APA Inputs'!$H$23)&gt;0,IF(DA$4=EDATE('APA Inputs'!$C$23,'APA Inputs'!$H$23-1),N('APA Inputs'!$G$23),0),0))*IF('APA Inputs'!$I$23="",1,'APA Inputs'!$I$23))</f>
        <v>0</v>
      </c>
      <c r="DB8" s="419" t="n">
        <f aca="false">IF('APA Inputs'!$C$23="",0,(IF(AND(DB$4&gt;='APA Inputs'!$C$23,DB$4&lt;EDATE('APA Inputs'!$C$23,N('APA Inputs'!$D$23))),'APA Inputs'!$J$23,0)+IF(N('APA Inputs'!$H$23)&gt;0,IF(DB$4=EDATE('APA Inputs'!$C$23,'APA Inputs'!$H$23-1),N('APA Inputs'!$G$23),0),0))*IF('APA Inputs'!$I$23="",1,'APA Inputs'!$I$23))</f>
        <v>0</v>
      </c>
      <c r="DC8" s="419" t="n">
        <f aca="false">IF('APA Inputs'!$C$23="",0,(IF(AND(DC$4&gt;='APA Inputs'!$C$23,DC$4&lt;EDATE('APA Inputs'!$C$23,N('APA Inputs'!$D$23))),'APA Inputs'!$J$23,0)+IF(N('APA Inputs'!$H$23)&gt;0,IF(DC$4=EDATE('APA Inputs'!$C$23,'APA Inputs'!$H$23-1),N('APA Inputs'!$G$23),0),0))*IF('APA Inputs'!$I$23="",1,'APA Inputs'!$I$23))</f>
        <v>0</v>
      </c>
      <c r="DD8" s="419" t="n">
        <f aca="false">IF('APA Inputs'!$C$23="",0,(IF(AND(DD$4&gt;='APA Inputs'!$C$23,DD$4&lt;EDATE('APA Inputs'!$C$23,N('APA Inputs'!$D$23))),'APA Inputs'!$J$23,0)+IF(N('APA Inputs'!$H$23)&gt;0,IF(DD$4=EDATE('APA Inputs'!$C$23,'APA Inputs'!$H$23-1),N('APA Inputs'!$G$23),0),0))*IF('APA Inputs'!$I$23="",1,'APA Inputs'!$I$23))</f>
        <v>0</v>
      </c>
      <c r="DE8" s="419"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19" t="n">
        <f aca="false">IF('APA Inputs'!$C$24="",0,(IF(AND(B$4&gt;='APA Inputs'!$C$24,B$4&lt;EDATE('APA Inputs'!$C$24,N('APA Inputs'!$D$24))),'APA Inputs'!$J$24,0)+IF(N('APA Inputs'!$H$24)&gt;0,IF(B$4=EDATE('APA Inputs'!$C$24,'APA Inputs'!$H$24-1),N('APA Inputs'!$G$24),0),0))*IF('APA Inputs'!$I$24="",1,'APA Inputs'!$I$24))</f>
        <v>0</v>
      </c>
      <c r="C9" s="419" t="n">
        <f aca="false">IF('APA Inputs'!$C$24="",0,(IF(AND(C$4&gt;='APA Inputs'!$C$24,C$4&lt;EDATE('APA Inputs'!$C$24,N('APA Inputs'!$D$24))),'APA Inputs'!$J$24,0)+IF(N('APA Inputs'!$H$24)&gt;0,IF(C$4=EDATE('APA Inputs'!$C$24,'APA Inputs'!$H$24-1),N('APA Inputs'!$G$24),0),0))*IF('APA Inputs'!$I$24="",1,'APA Inputs'!$I$24))</f>
        <v>0</v>
      </c>
      <c r="D9" s="419" t="n">
        <f aca="false">IF('APA Inputs'!$C$24="",0,(IF(AND(D$4&gt;='APA Inputs'!$C$24,D$4&lt;EDATE('APA Inputs'!$C$24,N('APA Inputs'!$D$24))),'APA Inputs'!$J$24,0)+IF(N('APA Inputs'!$H$24)&gt;0,IF(D$4=EDATE('APA Inputs'!$C$24,'APA Inputs'!$H$24-1),N('APA Inputs'!$G$24),0),0))*IF('APA Inputs'!$I$24="",1,'APA Inputs'!$I$24))</f>
        <v>0</v>
      </c>
      <c r="E9" s="419" t="n">
        <f aca="false">IF('APA Inputs'!$C$24="",0,(IF(AND(E$4&gt;='APA Inputs'!$C$24,E$4&lt;EDATE('APA Inputs'!$C$24,N('APA Inputs'!$D$24))),'APA Inputs'!$J$24,0)+IF(N('APA Inputs'!$H$24)&gt;0,IF(E$4=EDATE('APA Inputs'!$C$24,'APA Inputs'!$H$24-1),N('APA Inputs'!$G$24),0),0))*IF('APA Inputs'!$I$24="",1,'APA Inputs'!$I$24))</f>
        <v>0</v>
      </c>
      <c r="F9" s="419" t="n">
        <f aca="false">IF('APA Inputs'!$C$24="",0,(IF(AND(F$4&gt;='APA Inputs'!$C$24,F$4&lt;EDATE('APA Inputs'!$C$24,N('APA Inputs'!$D$24))),'APA Inputs'!$J$24,0)+IF(N('APA Inputs'!$H$24)&gt;0,IF(F$4=EDATE('APA Inputs'!$C$24,'APA Inputs'!$H$24-1),N('APA Inputs'!$G$24),0),0))*IF('APA Inputs'!$I$24="",1,'APA Inputs'!$I$24))</f>
        <v>0</v>
      </c>
      <c r="G9" s="419" t="n">
        <f aca="false">IF('APA Inputs'!$C$24="",0,(IF(AND(G$4&gt;='APA Inputs'!$C$24,G$4&lt;EDATE('APA Inputs'!$C$24,N('APA Inputs'!$D$24))),'APA Inputs'!$J$24,0)+IF(N('APA Inputs'!$H$24)&gt;0,IF(G$4=EDATE('APA Inputs'!$C$24,'APA Inputs'!$H$24-1),N('APA Inputs'!$G$24),0),0))*IF('APA Inputs'!$I$24="",1,'APA Inputs'!$I$24))</f>
        <v>0</v>
      </c>
      <c r="H9" s="419" t="n">
        <f aca="false">IF('APA Inputs'!$C$24="",0,(IF(AND(H$4&gt;='APA Inputs'!$C$24,H$4&lt;EDATE('APA Inputs'!$C$24,N('APA Inputs'!$D$24))),'APA Inputs'!$J$24,0)+IF(N('APA Inputs'!$H$24)&gt;0,IF(H$4=EDATE('APA Inputs'!$C$24,'APA Inputs'!$H$24-1),N('APA Inputs'!$G$24),0),0))*IF('APA Inputs'!$I$24="",1,'APA Inputs'!$I$24))</f>
        <v>0</v>
      </c>
      <c r="I9" s="419" t="n">
        <f aca="false">IF('APA Inputs'!$C$24="",0,(IF(AND(I$4&gt;='APA Inputs'!$C$24,I$4&lt;EDATE('APA Inputs'!$C$24,N('APA Inputs'!$D$24))),'APA Inputs'!$J$24,0)+IF(N('APA Inputs'!$H$24)&gt;0,IF(I$4=EDATE('APA Inputs'!$C$24,'APA Inputs'!$H$24-1),N('APA Inputs'!$G$24),0),0))*IF('APA Inputs'!$I$24="",1,'APA Inputs'!$I$24))</f>
        <v>0</v>
      </c>
      <c r="J9" s="419" t="n">
        <f aca="false">IF('APA Inputs'!$C$24="",0,(IF(AND(J$4&gt;='APA Inputs'!$C$24,J$4&lt;EDATE('APA Inputs'!$C$24,N('APA Inputs'!$D$24))),'APA Inputs'!$J$24,0)+IF(N('APA Inputs'!$H$24)&gt;0,IF(J$4=EDATE('APA Inputs'!$C$24,'APA Inputs'!$H$24-1),N('APA Inputs'!$G$24),0),0))*IF('APA Inputs'!$I$24="",1,'APA Inputs'!$I$24))</f>
        <v>3332.72</v>
      </c>
      <c r="K9" s="419" t="n">
        <f aca="false">IF('APA Inputs'!$C$24="",0,(IF(AND(K$4&gt;='APA Inputs'!$C$24,K$4&lt;EDATE('APA Inputs'!$C$24,N('APA Inputs'!$D$24))),'APA Inputs'!$J$24,0)+IF(N('APA Inputs'!$H$24)&gt;0,IF(K$4=EDATE('APA Inputs'!$C$24,'APA Inputs'!$H$24-1),N('APA Inputs'!$G$24),0),0))*IF('APA Inputs'!$I$24="",1,'APA Inputs'!$I$24))</f>
        <v>3332.72</v>
      </c>
      <c r="L9" s="419" t="n">
        <f aca="false">IF('APA Inputs'!$C$24="",0,(IF(AND(L$4&gt;='APA Inputs'!$C$24,L$4&lt;EDATE('APA Inputs'!$C$24,N('APA Inputs'!$D$24))),'APA Inputs'!$J$24,0)+IF(N('APA Inputs'!$H$24)&gt;0,IF(L$4=EDATE('APA Inputs'!$C$24,'APA Inputs'!$H$24-1),N('APA Inputs'!$G$24),0),0))*IF('APA Inputs'!$I$24="",1,'APA Inputs'!$I$24))</f>
        <v>3332.72</v>
      </c>
      <c r="M9" s="419" t="n">
        <f aca="false">IF('APA Inputs'!$C$24="",0,(IF(AND(M$4&gt;='APA Inputs'!$C$24,M$4&lt;EDATE('APA Inputs'!$C$24,N('APA Inputs'!$D$24))),'APA Inputs'!$J$24,0)+IF(N('APA Inputs'!$H$24)&gt;0,IF(M$4=EDATE('APA Inputs'!$C$24,'APA Inputs'!$H$24-1),N('APA Inputs'!$G$24),0),0))*IF('APA Inputs'!$I$24="",1,'APA Inputs'!$I$24))</f>
        <v>3332.72</v>
      </c>
      <c r="N9" s="419" t="n">
        <f aca="false">IF('APA Inputs'!$C$24="",0,(IF(AND(N$4&gt;='APA Inputs'!$C$24,N$4&lt;EDATE('APA Inputs'!$C$24,N('APA Inputs'!$D$24))),'APA Inputs'!$J$24,0)+IF(N('APA Inputs'!$H$24)&gt;0,IF(N$4=EDATE('APA Inputs'!$C$24,'APA Inputs'!$H$24-1),N('APA Inputs'!$G$24),0),0))*IF('APA Inputs'!$I$24="",1,'APA Inputs'!$I$24))</f>
        <v>3332.72</v>
      </c>
      <c r="O9" s="419" t="n">
        <f aca="false">IF('APA Inputs'!$C$24="",0,(IF(AND(O$4&gt;='APA Inputs'!$C$24,O$4&lt;EDATE('APA Inputs'!$C$24,N('APA Inputs'!$D$24))),'APA Inputs'!$J$24,0)+IF(N('APA Inputs'!$H$24)&gt;0,IF(O$4=EDATE('APA Inputs'!$C$24,'APA Inputs'!$H$24-1),N('APA Inputs'!$G$24),0),0))*IF('APA Inputs'!$I$24="",1,'APA Inputs'!$I$24))</f>
        <v>3332.72</v>
      </c>
      <c r="P9" s="419" t="n">
        <f aca="false">IF('APA Inputs'!$C$24="",0,(IF(AND(P$4&gt;='APA Inputs'!$C$24,P$4&lt;EDATE('APA Inputs'!$C$24,N('APA Inputs'!$D$24))),'APA Inputs'!$J$24,0)+IF(N('APA Inputs'!$H$24)&gt;0,IF(P$4=EDATE('APA Inputs'!$C$24,'APA Inputs'!$H$24-1),N('APA Inputs'!$G$24),0),0))*IF('APA Inputs'!$I$24="",1,'APA Inputs'!$I$24))</f>
        <v>3332.72</v>
      </c>
      <c r="Q9" s="419" t="n">
        <f aca="false">IF('APA Inputs'!$C$24="",0,(IF(AND(Q$4&gt;='APA Inputs'!$C$24,Q$4&lt;EDATE('APA Inputs'!$C$24,N('APA Inputs'!$D$24))),'APA Inputs'!$J$24,0)+IF(N('APA Inputs'!$H$24)&gt;0,IF(Q$4=EDATE('APA Inputs'!$C$24,'APA Inputs'!$H$24-1),N('APA Inputs'!$G$24),0),0))*IF('APA Inputs'!$I$24="",1,'APA Inputs'!$I$24))</f>
        <v>3332.72</v>
      </c>
      <c r="R9" s="419" t="n">
        <f aca="false">IF('APA Inputs'!$C$24="",0,(IF(AND(R$4&gt;='APA Inputs'!$C$24,R$4&lt;EDATE('APA Inputs'!$C$24,N('APA Inputs'!$D$24))),'APA Inputs'!$J$24,0)+IF(N('APA Inputs'!$H$24)&gt;0,IF(R$4=EDATE('APA Inputs'!$C$24,'APA Inputs'!$H$24-1),N('APA Inputs'!$G$24),0),0))*IF('APA Inputs'!$I$24="",1,'APA Inputs'!$I$24))</f>
        <v>3332.72</v>
      </c>
      <c r="S9" s="419" t="n">
        <f aca="false">IF('APA Inputs'!$C$24="",0,(IF(AND(S$4&gt;='APA Inputs'!$C$24,S$4&lt;EDATE('APA Inputs'!$C$24,N('APA Inputs'!$D$24))),'APA Inputs'!$J$24,0)+IF(N('APA Inputs'!$H$24)&gt;0,IF(S$4=EDATE('APA Inputs'!$C$24,'APA Inputs'!$H$24-1),N('APA Inputs'!$G$24),0),0))*IF('APA Inputs'!$I$24="",1,'APA Inputs'!$I$24))</f>
        <v>3332.72</v>
      </c>
      <c r="T9" s="419" t="n">
        <f aca="false">IF('APA Inputs'!$C$24="",0,(IF(AND(T$4&gt;='APA Inputs'!$C$24,T$4&lt;EDATE('APA Inputs'!$C$24,N('APA Inputs'!$D$24))),'APA Inputs'!$J$24,0)+IF(N('APA Inputs'!$H$24)&gt;0,IF(T$4=EDATE('APA Inputs'!$C$24,'APA Inputs'!$H$24-1),N('APA Inputs'!$G$24),0),0))*IF('APA Inputs'!$I$24="",1,'APA Inputs'!$I$24))</f>
        <v>3332.72</v>
      </c>
      <c r="U9" s="419" t="n">
        <f aca="false">IF('APA Inputs'!$C$24="",0,(IF(AND(U$4&gt;='APA Inputs'!$C$24,U$4&lt;EDATE('APA Inputs'!$C$24,N('APA Inputs'!$D$24))),'APA Inputs'!$J$24,0)+IF(N('APA Inputs'!$H$24)&gt;0,IF(U$4=EDATE('APA Inputs'!$C$24,'APA Inputs'!$H$24-1),N('APA Inputs'!$G$24),0),0))*IF('APA Inputs'!$I$24="",1,'APA Inputs'!$I$24))</f>
        <v>3332.72</v>
      </c>
      <c r="V9" s="419" t="n">
        <f aca="false">IF('APA Inputs'!$C$24="",0,(IF(AND(V$4&gt;='APA Inputs'!$C$24,V$4&lt;EDATE('APA Inputs'!$C$24,N('APA Inputs'!$D$24))),'APA Inputs'!$J$24,0)+IF(N('APA Inputs'!$H$24)&gt;0,IF(V$4=EDATE('APA Inputs'!$C$24,'APA Inputs'!$H$24-1),N('APA Inputs'!$G$24),0),0))*IF('APA Inputs'!$I$24="",1,'APA Inputs'!$I$24))</f>
        <v>0</v>
      </c>
      <c r="W9" s="419" t="n">
        <f aca="false">IF('APA Inputs'!$C$24="",0,(IF(AND(W$4&gt;='APA Inputs'!$C$24,W$4&lt;EDATE('APA Inputs'!$C$24,N('APA Inputs'!$D$24))),'APA Inputs'!$J$24,0)+IF(N('APA Inputs'!$H$24)&gt;0,IF(W$4=EDATE('APA Inputs'!$C$24,'APA Inputs'!$H$24-1),N('APA Inputs'!$G$24),0),0))*IF('APA Inputs'!$I$24="",1,'APA Inputs'!$I$24))</f>
        <v>0</v>
      </c>
      <c r="X9" s="419" t="n">
        <f aca="false">IF('APA Inputs'!$C$24="",0,(IF(AND(X$4&gt;='APA Inputs'!$C$24,X$4&lt;EDATE('APA Inputs'!$C$24,N('APA Inputs'!$D$24))),'APA Inputs'!$J$24,0)+IF(N('APA Inputs'!$H$24)&gt;0,IF(X$4=EDATE('APA Inputs'!$C$24,'APA Inputs'!$H$24-1),N('APA Inputs'!$G$24),0),0))*IF('APA Inputs'!$I$24="",1,'APA Inputs'!$I$24))</f>
        <v>0</v>
      </c>
      <c r="Y9" s="419" t="n">
        <f aca="false">IF('APA Inputs'!$C$24="",0,(IF(AND(Y$4&gt;='APA Inputs'!$C$24,Y$4&lt;EDATE('APA Inputs'!$C$24,N('APA Inputs'!$D$24))),'APA Inputs'!$J$24,0)+IF(N('APA Inputs'!$H$24)&gt;0,IF(Y$4=EDATE('APA Inputs'!$C$24,'APA Inputs'!$H$24-1),N('APA Inputs'!$G$24),0),0))*IF('APA Inputs'!$I$24="",1,'APA Inputs'!$I$24))</f>
        <v>0</v>
      </c>
      <c r="Z9" s="419" t="n">
        <f aca="false">IF('APA Inputs'!$C$24="",0,(IF(AND(Z$4&gt;='APA Inputs'!$C$24,Z$4&lt;EDATE('APA Inputs'!$C$24,N('APA Inputs'!$D$24))),'APA Inputs'!$J$24,0)+IF(N('APA Inputs'!$H$24)&gt;0,IF(Z$4=EDATE('APA Inputs'!$C$24,'APA Inputs'!$H$24-1),N('APA Inputs'!$G$24),0),0))*IF('APA Inputs'!$I$24="",1,'APA Inputs'!$I$24))</f>
        <v>0</v>
      </c>
      <c r="AA9" s="419" t="n">
        <f aca="false">IF('APA Inputs'!$C$24="",0,(IF(AND(AA$4&gt;='APA Inputs'!$C$24,AA$4&lt;EDATE('APA Inputs'!$C$24,N('APA Inputs'!$D$24))),'APA Inputs'!$J$24,0)+IF(N('APA Inputs'!$H$24)&gt;0,IF(AA$4=EDATE('APA Inputs'!$C$24,'APA Inputs'!$H$24-1),N('APA Inputs'!$G$24),0),0))*IF('APA Inputs'!$I$24="",1,'APA Inputs'!$I$24))</f>
        <v>0</v>
      </c>
      <c r="AB9" s="419" t="n">
        <f aca="false">IF('APA Inputs'!$C$24="",0,(IF(AND(AB$4&gt;='APA Inputs'!$C$24,AB$4&lt;EDATE('APA Inputs'!$C$24,N('APA Inputs'!$D$24))),'APA Inputs'!$J$24,0)+IF(N('APA Inputs'!$H$24)&gt;0,IF(AB$4=EDATE('APA Inputs'!$C$24,'APA Inputs'!$H$24-1),N('APA Inputs'!$G$24),0),0))*IF('APA Inputs'!$I$24="",1,'APA Inputs'!$I$24))</f>
        <v>0</v>
      </c>
      <c r="AC9" s="419" t="n">
        <f aca="false">IF('APA Inputs'!$C$24="",0,(IF(AND(AC$4&gt;='APA Inputs'!$C$24,AC$4&lt;EDATE('APA Inputs'!$C$24,N('APA Inputs'!$D$24))),'APA Inputs'!$J$24,0)+IF(N('APA Inputs'!$H$24)&gt;0,IF(AC$4=EDATE('APA Inputs'!$C$24,'APA Inputs'!$H$24-1),N('APA Inputs'!$G$24),0),0))*IF('APA Inputs'!$I$24="",1,'APA Inputs'!$I$24))</f>
        <v>0</v>
      </c>
      <c r="AD9" s="419" t="n">
        <f aca="false">IF('APA Inputs'!$C$24="",0,(IF(AND(AD$4&gt;='APA Inputs'!$C$24,AD$4&lt;EDATE('APA Inputs'!$C$24,N('APA Inputs'!$D$24))),'APA Inputs'!$J$24,0)+IF(N('APA Inputs'!$H$24)&gt;0,IF(AD$4=EDATE('APA Inputs'!$C$24,'APA Inputs'!$H$24-1),N('APA Inputs'!$G$24),0),0))*IF('APA Inputs'!$I$24="",1,'APA Inputs'!$I$24))</f>
        <v>0</v>
      </c>
      <c r="AE9" s="419" t="n">
        <f aca="false">IF('APA Inputs'!$C$24="",0,(IF(AND(AE$4&gt;='APA Inputs'!$C$24,AE$4&lt;EDATE('APA Inputs'!$C$24,N('APA Inputs'!$D$24))),'APA Inputs'!$J$24,0)+IF(N('APA Inputs'!$H$24)&gt;0,IF(AE$4=EDATE('APA Inputs'!$C$24,'APA Inputs'!$H$24-1),N('APA Inputs'!$G$24),0),0))*IF('APA Inputs'!$I$24="",1,'APA Inputs'!$I$24))</f>
        <v>0</v>
      </c>
      <c r="AF9" s="419" t="n">
        <f aca="false">IF('APA Inputs'!$C$24="",0,(IF(AND(AF$4&gt;='APA Inputs'!$C$24,AF$4&lt;EDATE('APA Inputs'!$C$24,N('APA Inputs'!$D$24))),'APA Inputs'!$J$24,0)+IF(N('APA Inputs'!$H$24)&gt;0,IF(AF$4=EDATE('APA Inputs'!$C$24,'APA Inputs'!$H$24-1),N('APA Inputs'!$G$24),0),0))*IF('APA Inputs'!$I$24="",1,'APA Inputs'!$I$24))</f>
        <v>0</v>
      </c>
      <c r="AG9" s="419" t="n">
        <f aca="false">IF('APA Inputs'!$C$24="",0,(IF(AND(AG$4&gt;='APA Inputs'!$C$24,AG$4&lt;EDATE('APA Inputs'!$C$24,N('APA Inputs'!$D$24))),'APA Inputs'!$J$24,0)+IF(N('APA Inputs'!$H$24)&gt;0,IF(AG$4=EDATE('APA Inputs'!$C$24,'APA Inputs'!$H$24-1),N('APA Inputs'!$G$24),0),0))*IF('APA Inputs'!$I$24="",1,'APA Inputs'!$I$24))</f>
        <v>0</v>
      </c>
      <c r="AH9" s="419" t="n">
        <f aca="false">IF('APA Inputs'!$C$24="",0,(IF(AND(AH$4&gt;='APA Inputs'!$C$24,AH$4&lt;EDATE('APA Inputs'!$C$24,N('APA Inputs'!$D$24))),'APA Inputs'!$J$24,0)+IF(N('APA Inputs'!$H$24)&gt;0,IF(AH$4=EDATE('APA Inputs'!$C$24,'APA Inputs'!$H$24-1),N('APA Inputs'!$G$24),0),0))*IF('APA Inputs'!$I$24="",1,'APA Inputs'!$I$24))</f>
        <v>0</v>
      </c>
      <c r="AI9" s="419" t="n">
        <f aca="false">IF('APA Inputs'!$C$24="",0,(IF(AND(AI$4&gt;='APA Inputs'!$C$24,AI$4&lt;EDATE('APA Inputs'!$C$24,N('APA Inputs'!$D$24))),'APA Inputs'!$J$24,0)+IF(N('APA Inputs'!$H$24)&gt;0,IF(AI$4=EDATE('APA Inputs'!$C$24,'APA Inputs'!$H$24-1),N('APA Inputs'!$G$24),0),0))*IF('APA Inputs'!$I$24="",1,'APA Inputs'!$I$24))</f>
        <v>0</v>
      </c>
      <c r="AJ9" s="419" t="n">
        <f aca="false">IF('APA Inputs'!$C$24="",0,(IF(AND(AJ$4&gt;='APA Inputs'!$C$24,AJ$4&lt;EDATE('APA Inputs'!$C$24,N('APA Inputs'!$D$24))),'APA Inputs'!$J$24,0)+IF(N('APA Inputs'!$H$24)&gt;0,IF(AJ$4=EDATE('APA Inputs'!$C$24,'APA Inputs'!$H$24-1),N('APA Inputs'!$G$24),0),0))*IF('APA Inputs'!$I$24="",1,'APA Inputs'!$I$24))</f>
        <v>0</v>
      </c>
      <c r="AK9" s="419" t="n">
        <f aca="false">IF('APA Inputs'!$C$24="",0,(IF(AND(AK$4&gt;='APA Inputs'!$C$24,AK$4&lt;EDATE('APA Inputs'!$C$24,N('APA Inputs'!$D$24))),'APA Inputs'!$J$24,0)+IF(N('APA Inputs'!$H$24)&gt;0,IF(AK$4=EDATE('APA Inputs'!$C$24,'APA Inputs'!$H$24-1),N('APA Inputs'!$G$24),0),0))*IF('APA Inputs'!$I$24="",1,'APA Inputs'!$I$24))</f>
        <v>0</v>
      </c>
      <c r="AL9" s="419" t="n">
        <f aca="false">IF('APA Inputs'!$C$24="",0,(IF(AND(AL$4&gt;='APA Inputs'!$C$24,AL$4&lt;EDATE('APA Inputs'!$C$24,N('APA Inputs'!$D$24))),'APA Inputs'!$J$24,0)+IF(N('APA Inputs'!$H$24)&gt;0,IF(AL$4=EDATE('APA Inputs'!$C$24,'APA Inputs'!$H$24-1),N('APA Inputs'!$G$24),0),0))*IF('APA Inputs'!$I$24="",1,'APA Inputs'!$I$24))</f>
        <v>0</v>
      </c>
      <c r="AM9" s="419" t="n">
        <f aca="false">IF('APA Inputs'!$C$24="",0,(IF(AND(AM$4&gt;='APA Inputs'!$C$24,AM$4&lt;EDATE('APA Inputs'!$C$24,N('APA Inputs'!$D$24))),'APA Inputs'!$J$24,0)+IF(N('APA Inputs'!$H$24)&gt;0,IF(AM$4=EDATE('APA Inputs'!$C$24,'APA Inputs'!$H$24-1),N('APA Inputs'!$G$24),0),0))*IF('APA Inputs'!$I$24="",1,'APA Inputs'!$I$24))</f>
        <v>0</v>
      </c>
      <c r="AN9" s="419" t="n">
        <f aca="false">IF('APA Inputs'!$C$24="",0,(IF(AND(AN$4&gt;='APA Inputs'!$C$24,AN$4&lt;EDATE('APA Inputs'!$C$24,N('APA Inputs'!$D$24))),'APA Inputs'!$J$24,0)+IF(N('APA Inputs'!$H$24)&gt;0,IF(AN$4=EDATE('APA Inputs'!$C$24,'APA Inputs'!$H$24-1),N('APA Inputs'!$G$24),0),0))*IF('APA Inputs'!$I$24="",1,'APA Inputs'!$I$24))</f>
        <v>0</v>
      </c>
      <c r="AO9" s="419" t="n">
        <f aca="false">IF('APA Inputs'!$C$24="",0,(IF(AND(AO$4&gt;='APA Inputs'!$C$24,AO$4&lt;EDATE('APA Inputs'!$C$24,N('APA Inputs'!$D$24))),'APA Inputs'!$J$24,0)+IF(N('APA Inputs'!$H$24)&gt;0,IF(AO$4=EDATE('APA Inputs'!$C$24,'APA Inputs'!$H$24-1),N('APA Inputs'!$G$24),0),0))*IF('APA Inputs'!$I$24="",1,'APA Inputs'!$I$24))</f>
        <v>0</v>
      </c>
      <c r="AP9" s="419" t="n">
        <f aca="false">IF('APA Inputs'!$C$24="",0,(IF(AND(AP$4&gt;='APA Inputs'!$C$24,AP$4&lt;EDATE('APA Inputs'!$C$24,N('APA Inputs'!$D$24))),'APA Inputs'!$J$24,0)+IF(N('APA Inputs'!$H$24)&gt;0,IF(AP$4=EDATE('APA Inputs'!$C$24,'APA Inputs'!$H$24-1),N('APA Inputs'!$G$24),0),0))*IF('APA Inputs'!$I$24="",1,'APA Inputs'!$I$24))</f>
        <v>0</v>
      </c>
      <c r="AQ9" s="419" t="n">
        <f aca="false">IF('APA Inputs'!$C$24="",0,(IF(AND(AQ$4&gt;='APA Inputs'!$C$24,AQ$4&lt;EDATE('APA Inputs'!$C$24,N('APA Inputs'!$D$24))),'APA Inputs'!$J$24,0)+IF(N('APA Inputs'!$H$24)&gt;0,IF(AQ$4=EDATE('APA Inputs'!$C$24,'APA Inputs'!$H$24-1),N('APA Inputs'!$G$24),0),0))*IF('APA Inputs'!$I$24="",1,'APA Inputs'!$I$24))</f>
        <v>0</v>
      </c>
      <c r="AR9" s="419" t="n">
        <f aca="false">IF('APA Inputs'!$C$24="",0,(IF(AND(AR$4&gt;='APA Inputs'!$C$24,AR$4&lt;EDATE('APA Inputs'!$C$24,N('APA Inputs'!$D$24))),'APA Inputs'!$J$24,0)+IF(N('APA Inputs'!$H$24)&gt;0,IF(AR$4=EDATE('APA Inputs'!$C$24,'APA Inputs'!$H$24-1),N('APA Inputs'!$G$24),0),0))*IF('APA Inputs'!$I$24="",1,'APA Inputs'!$I$24))</f>
        <v>0</v>
      </c>
      <c r="AS9" s="419" t="n">
        <f aca="false">IF('APA Inputs'!$C$24="",0,(IF(AND(AS$4&gt;='APA Inputs'!$C$24,AS$4&lt;EDATE('APA Inputs'!$C$24,N('APA Inputs'!$D$24))),'APA Inputs'!$J$24,0)+IF(N('APA Inputs'!$H$24)&gt;0,IF(AS$4=EDATE('APA Inputs'!$C$24,'APA Inputs'!$H$24-1),N('APA Inputs'!$G$24),0),0))*IF('APA Inputs'!$I$24="",1,'APA Inputs'!$I$24))</f>
        <v>0</v>
      </c>
      <c r="AT9" s="419" t="n">
        <f aca="false">IF('APA Inputs'!$C$24="",0,(IF(AND(AT$4&gt;='APA Inputs'!$C$24,AT$4&lt;EDATE('APA Inputs'!$C$24,N('APA Inputs'!$D$24))),'APA Inputs'!$J$24,0)+IF(N('APA Inputs'!$H$24)&gt;0,IF(AT$4=EDATE('APA Inputs'!$C$24,'APA Inputs'!$H$24-1),N('APA Inputs'!$G$24),0),0))*IF('APA Inputs'!$I$24="",1,'APA Inputs'!$I$24))</f>
        <v>0</v>
      </c>
      <c r="AU9" s="419" t="n">
        <f aca="false">IF('APA Inputs'!$C$24="",0,(IF(AND(AU$4&gt;='APA Inputs'!$C$24,AU$4&lt;EDATE('APA Inputs'!$C$24,N('APA Inputs'!$D$24))),'APA Inputs'!$J$24,0)+IF(N('APA Inputs'!$H$24)&gt;0,IF(AU$4=EDATE('APA Inputs'!$C$24,'APA Inputs'!$H$24-1),N('APA Inputs'!$G$24),0),0))*IF('APA Inputs'!$I$24="",1,'APA Inputs'!$I$24))</f>
        <v>0</v>
      </c>
      <c r="AV9" s="419" t="n">
        <f aca="false">IF('APA Inputs'!$C$24="",0,(IF(AND(AV$4&gt;='APA Inputs'!$C$24,AV$4&lt;EDATE('APA Inputs'!$C$24,N('APA Inputs'!$D$24))),'APA Inputs'!$J$24,0)+IF(N('APA Inputs'!$H$24)&gt;0,IF(AV$4=EDATE('APA Inputs'!$C$24,'APA Inputs'!$H$24-1),N('APA Inputs'!$G$24),0),0))*IF('APA Inputs'!$I$24="",1,'APA Inputs'!$I$24))</f>
        <v>0</v>
      </c>
      <c r="AW9" s="419" t="n">
        <f aca="false">IF('APA Inputs'!$C$24="",0,(IF(AND(AW$4&gt;='APA Inputs'!$C$24,AW$4&lt;EDATE('APA Inputs'!$C$24,N('APA Inputs'!$D$24))),'APA Inputs'!$J$24,0)+IF(N('APA Inputs'!$H$24)&gt;0,IF(AW$4=EDATE('APA Inputs'!$C$24,'APA Inputs'!$H$24-1),N('APA Inputs'!$G$24),0),0))*IF('APA Inputs'!$I$24="",1,'APA Inputs'!$I$24))</f>
        <v>0</v>
      </c>
      <c r="AX9" s="419" t="n">
        <f aca="false">IF('APA Inputs'!$C$24="",0,(IF(AND(AX$4&gt;='APA Inputs'!$C$24,AX$4&lt;EDATE('APA Inputs'!$C$24,N('APA Inputs'!$D$24))),'APA Inputs'!$J$24,0)+IF(N('APA Inputs'!$H$24)&gt;0,IF(AX$4=EDATE('APA Inputs'!$C$24,'APA Inputs'!$H$24-1),N('APA Inputs'!$G$24),0),0))*IF('APA Inputs'!$I$24="",1,'APA Inputs'!$I$24))</f>
        <v>0</v>
      </c>
      <c r="AY9" s="419" t="n">
        <f aca="false">IF('APA Inputs'!$C$24="",0,(IF(AND(AY$4&gt;='APA Inputs'!$C$24,AY$4&lt;EDATE('APA Inputs'!$C$24,N('APA Inputs'!$D$24))),'APA Inputs'!$J$24,0)+IF(N('APA Inputs'!$H$24)&gt;0,IF(AY$4=EDATE('APA Inputs'!$C$24,'APA Inputs'!$H$24-1),N('APA Inputs'!$G$24),0),0))*IF('APA Inputs'!$I$24="",1,'APA Inputs'!$I$24))</f>
        <v>0</v>
      </c>
      <c r="AZ9" s="419" t="n">
        <f aca="false">IF('APA Inputs'!$C$24="",0,(IF(AND(AZ$4&gt;='APA Inputs'!$C$24,AZ$4&lt;EDATE('APA Inputs'!$C$24,N('APA Inputs'!$D$24))),'APA Inputs'!$J$24,0)+IF(N('APA Inputs'!$H$24)&gt;0,IF(AZ$4=EDATE('APA Inputs'!$C$24,'APA Inputs'!$H$24-1),N('APA Inputs'!$G$24),0),0))*IF('APA Inputs'!$I$24="",1,'APA Inputs'!$I$24))</f>
        <v>0</v>
      </c>
      <c r="BA9" s="419" t="n">
        <f aca="false">IF('APA Inputs'!$C$24="",0,(IF(AND(BA$4&gt;='APA Inputs'!$C$24,BA$4&lt;EDATE('APA Inputs'!$C$24,N('APA Inputs'!$D$24))),'APA Inputs'!$J$24,0)+IF(N('APA Inputs'!$H$24)&gt;0,IF(BA$4=EDATE('APA Inputs'!$C$24,'APA Inputs'!$H$24-1),N('APA Inputs'!$G$24),0),0))*IF('APA Inputs'!$I$24="",1,'APA Inputs'!$I$24))</f>
        <v>0</v>
      </c>
      <c r="BB9" s="419" t="n">
        <f aca="false">IF('APA Inputs'!$C$24="",0,(IF(AND(BB$4&gt;='APA Inputs'!$C$24,BB$4&lt;EDATE('APA Inputs'!$C$24,N('APA Inputs'!$D$24))),'APA Inputs'!$J$24,0)+IF(N('APA Inputs'!$H$24)&gt;0,IF(BB$4=EDATE('APA Inputs'!$C$24,'APA Inputs'!$H$24-1),N('APA Inputs'!$G$24),0),0))*IF('APA Inputs'!$I$24="",1,'APA Inputs'!$I$24))</f>
        <v>0</v>
      </c>
      <c r="BC9" s="419" t="n">
        <f aca="false">IF('APA Inputs'!$C$24="",0,(IF(AND(BC$4&gt;='APA Inputs'!$C$24,BC$4&lt;EDATE('APA Inputs'!$C$24,N('APA Inputs'!$D$24))),'APA Inputs'!$J$24,0)+IF(N('APA Inputs'!$H$24)&gt;0,IF(BC$4=EDATE('APA Inputs'!$C$24,'APA Inputs'!$H$24-1),N('APA Inputs'!$G$24),0),0))*IF('APA Inputs'!$I$24="",1,'APA Inputs'!$I$24))</f>
        <v>0</v>
      </c>
      <c r="BD9" s="419" t="n">
        <f aca="false">IF('APA Inputs'!$C$24="",0,(IF(AND(BD$4&gt;='APA Inputs'!$C$24,BD$4&lt;EDATE('APA Inputs'!$C$24,N('APA Inputs'!$D$24))),'APA Inputs'!$J$24,0)+IF(N('APA Inputs'!$H$24)&gt;0,IF(BD$4=EDATE('APA Inputs'!$C$24,'APA Inputs'!$H$24-1),N('APA Inputs'!$G$24),0),0))*IF('APA Inputs'!$I$24="",1,'APA Inputs'!$I$24))</f>
        <v>0</v>
      </c>
      <c r="BE9" s="419" t="n">
        <f aca="false">IF('APA Inputs'!$C$24="",0,(IF(AND(BE$4&gt;='APA Inputs'!$C$24,BE$4&lt;EDATE('APA Inputs'!$C$24,N('APA Inputs'!$D$24))),'APA Inputs'!$J$24,0)+IF(N('APA Inputs'!$H$24)&gt;0,IF(BE$4=EDATE('APA Inputs'!$C$24,'APA Inputs'!$H$24-1),N('APA Inputs'!$G$24),0),0))*IF('APA Inputs'!$I$24="",1,'APA Inputs'!$I$24))</f>
        <v>0</v>
      </c>
      <c r="BF9" s="419" t="n">
        <f aca="false">IF('APA Inputs'!$C$24="",0,(IF(AND(BF$4&gt;='APA Inputs'!$C$24,BF$4&lt;EDATE('APA Inputs'!$C$24,N('APA Inputs'!$D$24))),'APA Inputs'!$J$24,0)+IF(N('APA Inputs'!$H$24)&gt;0,IF(BF$4=EDATE('APA Inputs'!$C$24,'APA Inputs'!$H$24-1),N('APA Inputs'!$G$24),0),0))*IF('APA Inputs'!$I$24="",1,'APA Inputs'!$I$24))</f>
        <v>0</v>
      </c>
      <c r="BG9" s="419" t="n">
        <f aca="false">IF('APA Inputs'!$C$24="",0,(IF(AND(BG$4&gt;='APA Inputs'!$C$24,BG$4&lt;EDATE('APA Inputs'!$C$24,N('APA Inputs'!$D$24))),'APA Inputs'!$J$24,0)+IF(N('APA Inputs'!$H$24)&gt;0,IF(BG$4=EDATE('APA Inputs'!$C$24,'APA Inputs'!$H$24-1),N('APA Inputs'!$G$24),0),0))*IF('APA Inputs'!$I$24="",1,'APA Inputs'!$I$24))</f>
        <v>0</v>
      </c>
      <c r="BH9" s="419" t="n">
        <f aca="false">IF('APA Inputs'!$C$24="",0,(IF(AND(BH$4&gt;='APA Inputs'!$C$24,BH$4&lt;EDATE('APA Inputs'!$C$24,N('APA Inputs'!$D$24))),'APA Inputs'!$J$24,0)+IF(N('APA Inputs'!$H$24)&gt;0,IF(BH$4=EDATE('APA Inputs'!$C$24,'APA Inputs'!$H$24-1),N('APA Inputs'!$G$24),0),0))*IF('APA Inputs'!$I$24="",1,'APA Inputs'!$I$24))</f>
        <v>0</v>
      </c>
      <c r="BI9" s="419" t="n">
        <f aca="false">IF('APA Inputs'!$C$24="",0,(IF(AND(BI$4&gt;='APA Inputs'!$C$24,BI$4&lt;EDATE('APA Inputs'!$C$24,N('APA Inputs'!$D$24))),'APA Inputs'!$J$24,0)+IF(N('APA Inputs'!$H$24)&gt;0,IF(BI$4=EDATE('APA Inputs'!$C$24,'APA Inputs'!$H$24-1),N('APA Inputs'!$G$24),0),0))*IF('APA Inputs'!$I$24="",1,'APA Inputs'!$I$24))</f>
        <v>0</v>
      </c>
      <c r="BJ9" s="419" t="n">
        <f aca="false">IF('APA Inputs'!$C$24="",0,(IF(AND(BJ$4&gt;='APA Inputs'!$C$24,BJ$4&lt;EDATE('APA Inputs'!$C$24,N('APA Inputs'!$D$24))),'APA Inputs'!$J$24,0)+IF(N('APA Inputs'!$H$24)&gt;0,IF(BJ$4=EDATE('APA Inputs'!$C$24,'APA Inputs'!$H$24-1),N('APA Inputs'!$G$24),0),0))*IF('APA Inputs'!$I$24="",1,'APA Inputs'!$I$24))</f>
        <v>0</v>
      </c>
      <c r="BK9" s="419" t="n">
        <f aca="false">IF('APA Inputs'!$C$24="",0,(IF(AND(BK$4&gt;='APA Inputs'!$C$24,BK$4&lt;EDATE('APA Inputs'!$C$24,N('APA Inputs'!$D$24))),'APA Inputs'!$J$24,0)+IF(N('APA Inputs'!$H$24)&gt;0,IF(BK$4=EDATE('APA Inputs'!$C$24,'APA Inputs'!$H$24-1),N('APA Inputs'!$G$24),0),0))*IF('APA Inputs'!$I$24="",1,'APA Inputs'!$I$24))</f>
        <v>0</v>
      </c>
      <c r="BL9" s="419" t="n">
        <f aca="false">IF('APA Inputs'!$C$24="",0,(IF(AND(BL$4&gt;='APA Inputs'!$C$24,BL$4&lt;EDATE('APA Inputs'!$C$24,N('APA Inputs'!$D$24))),'APA Inputs'!$J$24,0)+IF(N('APA Inputs'!$H$24)&gt;0,IF(BL$4=EDATE('APA Inputs'!$C$24,'APA Inputs'!$H$24-1),N('APA Inputs'!$G$24),0),0))*IF('APA Inputs'!$I$24="",1,'APA Inputs'!$I$24))</f>
        <v>0</v>
      </c>
      <c r="BM9" s="419" t="n">
        <f aca="false">IF('APA Inputs'!$C$24="",0,(IF(AND(BM$4&gt;='APA Inputs'!$C$24,BM$4&lt;EDATE('APA Inputs'!$C$24,N('APA Inputs'!$D$24))),'APA Inputs'!$J$24,0)+IF(N('APA Inputs'!$H$24)&gt;0,IF(BM$4=EDATE('APA Inputs'!$C$24,'APA Inputs'!$H$24-1),N('APA Inputs'!$G$24),0),0))*IF('APA Inputs'!$I$24="",1,'APA Inputs'!$I$24))</f>
        <v>0</v>
      </c>
      <c r="BN9" s="419" t="n">
        <f aca="false">IF('APA Inputs'!$C$24="",0,(IF(AND(BN$4&gt;='APA Inputs'!$C$24,BN$4&lt;EDATE('APA Inputs'!$C$24,N('APA Inputs'!$D$24))),'APA Inputs'!$J$24,0)+IF(N('APA Inputs'!$H$24)&gt;0,IF(BN$4=EDATE('APA Inputs'!$C$24,'APA Inputs'!$H$24-1),N('APA Inputs'!$G$24),0),0))*IF('APA Inputs'!$I$24="",1,'APA Inputs'!$I$24))</f>
        <v>0</v>
      </c>
      <c r="BO9" s="419" t="n">
        <f aca="false">IF('APA Inputs'!$C$24="",0,(IF(AND(BO$4&gt;='APA Inputs'!$C$24,BO$4&lt;EDATE('APA Inputs'!$C$24,N('APA Inputs'!$D$24))),'APA Inputs'!$J$24,0)+IF(N('APA Inputs'!$H$24)&gt;0,IF(BO$4=EDATE('APA Inputs'!$C$24,'APA Inputs'!$H$24-1),N('APA Inputs'!$G$24),0),0))*IF('APA Inputs'!$I$24="",1,'APA Inputs'!$I$24))</f>
        <v>0</v>
      </c>
      <c r="BP9" s="419" t="n">
        <f aca="false">IF('APA Inputs'!$C$24="",0,(IF(AND(BP$4&gt;='APA Inputs'!$C$24,BP$4&lt;EDATE('APA Inputs'!$C$24,N('APA Inputs'!$D$24))),'APA Inputs'!$J$24,0)+IF(N('APA Inputs'!$H$24)&gt;0,IF(BP$4=EDATE('APA Inputs'!$C$24,'APA Inputs'!$H$24-1),N('APA Inputs'!$G$24),0),0))*IF('APA Inputs'!$I$24="",1,'APA Inputs'!$I$24))</f>
        <v>0</v>
      </c>
      <c r="BQ9" s="419" t="n">
        <f aca="false">IF('APA Inputs'!$C$24="",0,(IF(AND(BQ$4&gt;='APA Inputs'!$C$24,BQ$4&lt;EDATE('APA Inputs'!$C$24,N('APA Inputs'!$D$24))),'APA Inputs'!$J$24,0)+IF(N('APA Inputs'!$H$24)&gt;0,IF(BQ$4=EDATE('APA Inputs'!$C$24,'APA Inputs'!$H$24-1),N('APA Inputs'!$G$24),0),0))*IF('APA Inputs'!$I$24="",1,'APA Inputs'!$I$24))</f>
        <v>0</v>
      </c>
      <c r="BR9" s="419" t="n">
        <f aca="false">IF('APA Inputs'!$C$24="",0,(IF(AND(BR$4&gt;='APA Inputs'!$C$24,BR$4&lt;EDATE('APA Inputs'!$C$24,N('APA Inputs'!$D$24))),'APA Inputs'!$J$24,0)+IF(N('APA Inputs'!$H$24)&gt;0,IF(BR$4=EDATE('APA Inputs'!$C$24,'APA Inputs'!$H$24-1),N('APA Inputs'!$G$24),0),0))*IF('APA Inputs'!$I$24="",1,'APA Inputs'!$I$24))</f>
        <v>0</v>
      </c>
      <c r="BS9" s="419" t="n">
        <f aca="false">IF('APA Inputs'!$C$24="",0,(IF(AND(BS$4&gt;='APA Inputs'!$C$24,BS$4&lt;EDATE('APA Inputs'!$C$24,N('APA Inputs'!$D$24))),'APA Inputs'!$J$24,0)+IF(N('APA Inputs'!$H$24)&gt;0,IF(BS$4=EDATE('APA Inputs'!$C$24,'APA Inputs'!$H$24-1),N('APA Inputs'!$G$24),0),0))*IF('APA Inputs'!$I$24="",1,'APA Inputs'!$I$24))</f>
        <v>0</v>
      </c>
      <c r="BT9" s="419" t="n">
        <f aca="false">IF('APA Inputs'!$C$24="",0,(IF(AND(BT$4&gt;='APA Inputs'!$C$24,BT$4&lt;EDATE('APA Inputs'!$C$24,N('APA Inputs'!$D$24))),'APA Inputs'!$J$24,0)+IF(N('APA Inputs'!$H$24)&gt;0,IF(BT$4=EDATE('APA Inputs'!$C$24,'APA Inputs'!$H$24-1),N('APA Inputs'!$G$24),0),0))*IF('APA Inputs'!$I$24="",1,'APA Inputs'!$I$24))</f>
        <v>0</v>
      </c>
      <c r="BU9" s="419" t="n">
        <f aca="false">IF('APA Inputs'!$C$24="",0,(IF(AND(BU$4&gt;='APA Inputs'!$C$24,BU$4&lt;EDATE('APA Inputs'!$C$24,N('APA Inputs'!$D$24))),'APA Inputs'!$J$24,0)+IF(N('APA Inputs'!$H$24)&gt;0,IF(BU$4=EDATE('APA Inputs'!$C$24,'APA Inputs'!$H$24-1),N('APA Inputs'!$G$24),0),0))*IF('APA Inputs'!$I$24="",1,'APA Inputs'!$I$24))</f>
        <v>0</v>
      </c>
      <c r="BV9" s="419" t="n">
        <f aca="false">IF('APA Inputs'!$C$24="",0,(IF(AND(BV$4&gt;='APA Inputs'!$C$24,BV$4&lt;EDATE('APA Inputs'!$C$24,N('APA Inputs'!$D$24))),'APA Inputs'!$J$24,0)+IF(N('APA Inputs'!$H$24)&gt;0,IF(BV$4=EDATE('APA Inputs'!$C$24,'APA Inputs'!$H$24-1),N('APA Inputs'!$G$24),0),0))*IF('APA Inputs'!$I$24="",1,'APA Inputs'!$I$24))</f>
        <v>0</v>
      </c>
      <c r="BW9" s="419" t="n">
        <f aca="false">IF('APA Inputs'!$C$24="",0,(IF(AND(BW$4&gt;='APA Inputs'!$C$24,BW$4&lt;EDATE('APA Inputs'!$C$24,N('APA Inputs'!$D$24))),'APA Inputs'!$J$24,0)+IF(N('APA Inputs'!$H$24)&gt;0,IF(BW$4=EDATE('APA Inputs'!$C$24,'APA Inputs'!$H$24-1),N('APA Inputs'!$G$24),0),0))*IF('APA Inputs'!$I$24="",1,'APA Inputs'!$I$24))</f>
        <v>0</v>
      </c>
      <c r="BX9" s="419" t="n">
        <f aca="false">IF('APA Inputs'!$C$24="",0,(IF(AND(BX$4&gt;='APA Inputs'!$C$24,BX$4&lt;EDATE('APA Inputs'!$C$24,N('APA Inputs'!$D$24))),'APA Inputs'!$J$24,0)+IF(N('APA Inputs'!$H$24)&gt;0,IF(BX$4=EDATE('APA Inputs'!$C$24,'APA Inputs'!$H$24-1),N('APA Inputs'!$G$24),0),0))*IF('APA Inputs'!$I$24="",1,'APA Inputs'!$I$24))</f>
        <v>0</v>
      </c>
      <c r="BY9" s="419" t="n">
        <f aca="false">IF('APA Inputs'!$C$24="",0,(IF(AND(BY$4&gt;='APA Inputs'!$C$24,BY$4&lt;EDATE('APA Inputs'!$C$24,N('APA Inputs'!$D$24))),'APA Inputs'!$J$24,0)+IF(N('APA Inputs'!$H$24)&gt;0,IF(BY$4=EDATE('APA Inputs'!$C$24,'APA Inputs'!$H$24-1),N('APA Inputs'!$G$24),0),0))*IF('APA Inputs'!$I$24="",1,'APA Inputs'!$I$24))</f>
        <v>0</v>
      </c>
      <c r="BZ9" s="419" t="n">
        <f aca="false">IF('APA Inputs'!$C$24="",0,(IF(AND(BZ$4&gt;='APA Inputs'!$C$24,BZ$4&lt;EDATE('APA Inputs'!$C$24,N('APA Inputs'!$D$24))),'APA Inputs'!$J$24,0)+IF(N('APA Inputs'!$H$24)&gt;0,IF(BZ$4=EDATE('APA Inputs'!$C$24,'APA Inputs'!$H$24-1),N('APA Inputs'!$G$24),0),0))*IF('APA Inputs'!$I$24="",1,'APA Inputs'!$I$24))</f>
        <v>0</v>
      </c>
      <c r="CA9" s="419" t="n">
        <f aca="false">IF('APA Inputs'!$C$24="",0,(IF(AND(CA$4&gt;='APA Inputs'!$C$24,CA$4&lt;EDATE('APA Inputs'!$C$24,N('APA Inputs'!$D$24))),'APA Inputs'!$J$24,0)+IF(N('APA Inputs'!$H$24)&gt;0,IF(CA$4=EDATE('APA Inputs'!$C$24,'APA Inputs'!$H$24-1),N('APA Inputs'!$G$24),0),0))*IF('APA Inputs'!$I$24="",1,'APA Inputs'!$I$24))</f>
        <v>0</v>
      </c>
      <c r="CB9" s="419" t="n">
        <f aca="false">IF('APA Inputs'!$C$24="",0,(IF(AND(CB$4&gt;='APA Inputs'!$C$24,CB$4&lt;EDATE('APA Inputs'!$C$24,N('APA Inputs'!$D$24))),'APA Inputs'!$J$24,0)+IF(N('APA Inputs'!$H$24)&gt;0,IF(CB$4=EDATE('APA Inputs'!$C$24,'APA Inputs'!$H$24-1),N('APA Inputs'!$G$24),0),0))*IF('APA Inputs'!$I$24="",1,'APA Inputs'!$I$24))</f>
        <v>0</v>
      </c>
      <c r="CC9" s="419" t="n">
        <f aca="false">IF('APA Inputs'!$C$24="",0,(IF(AND(CC$4&gt;='APA Inputs'!$C$24,CC$4&lt;EDATE('APA Inputs'!$C$24,N('APA Inputs'!$D$24))),'APA Inputs'!$J$24,0)+IF(N('APA Inputs'!$H$24)&gt;0,IF(CC$4=EDATE('APA Inputs'!$C$24,'APA Inputs'!$H$24-1),N('APA Inputs'!$G$24),0),0))*IF('APA Inputs'!$I$24="",1,'APA Inputs'!$I$24))</f>
        <v>0</v>
      </c>
      <c r="CD9" s="419" t="n">
        <f aca="false">IF('APA Inputs'!$C$24="",0,(IF(AND(CD$4&gt;='APA Inputs'!$C$24,CD$4&lt;EDATE('APA Inputs'!$C$24,N('APA Inputs'!$D$24))),'APA Inputs'!$J$24,0)+IF(N('APA Inputs'!$H$24)&gt;0,IF(CD$4=EDATE('APA Inputs'!$C$24,'APA Inputs'!$H$24-1),N('APA Inputs'!$G$24),0),0))*IF('APA Inputs'!$I$24="",1,'APA Inputs'!$I$24))</f>
        <v>0</v>
      </c>
      <c r="CE9" s="419" t="n">
        <f aca="false">IF('APA Inputs'!$C$24="",0,(IF(AND(CE$4&gt;='APA Inputs'!$C$24,CE$4&lt;EDATE('APA Inputs'!$C$24,N('APA Inputs'!$D$24))),'APA Inputs'!$J$24,0)+IF(N('APA Inputs'!$H$24)&gt;0,IF(CE$4=EDATE('APA Inputs'!$C$24,'APA Inputs'!$H$24-1),N('APA Inputs'!$G$24),0),0))*IF('APA Inputs'!$I$24="",1,'APA Inputs'!$I$24))</f>
        <v>0</v>
      </c>
      <c r="CF9" s="419" t="n">
        <f aca="false">IF('APA Inputs'!$C$24="",0,(IF(AND(CF$4&gt;='APA Inputs'!$C$24,CF$4&lt;EDATE('APA Inputs'!$C$24,N('APA Inputs'!$D$24))),'APA Inputs'!$J$24,0)+IF(N('APA Inputs'!$H$24)&gt;0,IF(CF$4=EDATE('APA Inputs'!$C$24,'APA Inputs'!$H$24-1),N('APA Inputs'!$G$24),0),0))*IF('APA Inputs'!$I$24="",1,'APA Inputs'!$I$24))</f>
        <v>0</v>
      </c>
      <c r="CG9" s="419" t="n">
        <f aca="false">IF('APA Inputs'!$C$24="",0,(IF(AND(CG$4&gt;='APA Inputs'!$C$24,CG$4&lt;EDATE('APA Inputs'!$C$24,N('APA Inputs'!$D$24))),'APA Inputs'!$J$24,0)+IF(N('APA Inputs'!$H$24)&gt;0,IF(CG$4=EDATE('APA Inputs'!$C$24,'APA Inputs'!$H$24-1),N('APA Inputs'!$G$24),0),0))*IF('APA Inputs'!$I$24="",1,'APA Inputs'!$I$24))</f>
        <v>0</v>
      </c>
      <c r="CH9" s="419" t="n">
        <f aca="false">IF('APA Inputs'!$C$24="",0,(IF(AND(CH$4&gt;='APA Inputs'!$C$24,CH$4&lt;EDATE('APA Inputs'!$C$24,N('APA Inputs'!$D$24))),'APA Inputs'!$J$24,0)+IF(N('APA Inputs'!$H$24)&gt;0,IF(CH$4=EDATE('APA Inputs'!$C$24,'APA Inputs'!$H$24-1),N('APA Inputs'!$G$24),0),0))*IF('APA Inputs'!$I$24="",1,'APA Inputs'!$I$24))</f>
        <v>0</v>
      </c>
      <c r="CI9" s="419" t="n">
        <f aca="false">IF('APA Inputs'!$C$24="",0,(IF(AND(CI$4&gt;='APA Inputs'!$C$24,CI$4&lt;EDATE('APA Inputs'!$C$24,N('APA Inputs'!$D$24))),'APA Inputs'!$J$24,0)+IF(N('APA Inputs'!$H$24)&gt;0,IF(CI$4=EDATE('APA Inputs'!$C$24,'APA Inputs'!$H$24-1),N('APA Inputs'!$G$24),0),0))*IF('APA Inputs'!$I$24="",1,'APA Inputs'!$I$24))</f>
        <v>0</v>
      </c>
      <c r="CJ9" s="419" t="n">
        <f aca="false">IF('APA Inputs'!$C$24="",0,(IF(AND(CJ$4&gt;='APA Inputs'!$C$24,CJ$4&lt;EDATE('APA Inputs'!$C$24,N('APA Inputs'!$D$24))),'APA Inputs'!$J$24,0)+IF(N('APA Inputs'!$H$24)&gt;0,IF(CJ$4=EDATE('APA Inputs'!$C$24,'APA Inputs'!$H$24-1),N('APA Inputs'!$G$24),0),0))*IF('APA Inputs'!$I$24="",1,'APA Inputs'!$I$24))</f>
        <v>0</v>
      </c>
      <c r="CK9" s="419" t="n">
        <f aca="false">IF('APA Inputs'!$C$24="",0,(IF(AND(CK$4&gt;='APA Inputs'!$C$24,CK$4&lt;EDATE('APA Inputs'!$C$24,N('APA Inputs'!$D$24))),'APA Inputs'!$J$24,0)+IF(N('APA Inputs'!$H$24)&gt;0,IF(CK$4=EDATE('APA Inputs'!$C$24,'APA Inputs'!$H$24-1),N('APA Inputs'!$G$24),0),0))*IF('APA Inputs'!$I$24="",1,'APA Inputs'!$I$24))</f>
        <v>0</v>
      </c>
      <c r="CL9" s="419" t="n">
        <f aca="false">IF('APA Inputs'!$C$24="",0,(IF(AND(CL$4&gt;='APA Inputs'!$C$24,CL$4&lt;EDATE('APA Inputs'!$C$24,N('APA Inputs'!$D$24))),'APA Inputs'!$J$24,0)+IF(N('APA Inputs'!$H$24)&gt;0,IF(CL$4=EDATE('APA Inputs'!$C$24,'APA Inputs'!$H$24-1),N('APA Inputs'!$G$24),0),0))*IF('APA Inputs'!$I$24="",1,'APA Inputs'!$I$24))</f>
        <v>0</v>
      </c>
      <c r="CM9" s="419" t="n">
        <f aca="false">IF('APA Inputs'!$C$24="",0,(IF(AND(CM$4&gt;='APA Inputs'!$C$24,CM$4&lt;EDATE('APA Inputs'!$C$24,N('APA Inputs'!$D$24))),'APA Inputs'!$J$24,0)+IF(N('APA Inputs'!$H$24)&gt;0,IF(CM$4=EDATE('APA Inputs'!$C$24,'APA Inputs'!$H$24-1),N('APA Inputs'!$G$24),0),0))*IF('APA Inputs'!$I$24="",1,'APA Inputs'!$I$24))</f>
        <v>0</v>
      </c>
      <c r="CN9" s="419" t="n">
        <f aca="false">IF('APA Inputs'!$C$24="",0,(IF(AND(CN$4&gt;='APA Inputs'!$C$24,CN$4&lt;EDATE('APA Inputs'!$C$24,N('APA Inputs'!$D$24))),'APA Inputs'!$J$24,0)+IF(N('APA Inputs'!$H$24)&gt;0,IF(CN$4=EDATE('APA Inputs'!$C$24,'APA Inputs'!$H$24-1),N('APA Inputs'!$G$24),0),0))*IF('APA Inputs'!$I$24="",1,'APA Inputs'!$I$24))</f>
        <v>0</v>
      </c>
      <c r="CO9" s="419" t="n">
        <f aca="false">IF('APA Inputs'!$C$24="",0,(IF(AND(CO$4&gt;='APA Inputs'!$C$24,CO$4&lt;EDATE('APA Inputs'!$C$24,N('APA Inputs'!$D$24))),'APA Inputs'!$J$24,0)+IF(N('APA Inputs'!$H$24)&gt;0,IF(CO$4=EDATE('APA Inputs'!$C$24,'APA Inputs'!$H$24-1),N('APA Inputs'!$G$24),0),0))*IF('APA Inputs'!$I$24="",1,'APA Inputs'!$I$24))</f>
        <v>0</v>
      </c>
      <c r="CP9" s="419" t="n">
        <f aca="false">IF('APA Inputs'!$C$24="",0,(IF(AND(CP$4&gt;='APA Inputs'!$C$24,CP$4&lt;EDATE('APA Inputs'!$C$24,N('APA Inputs'!$D$24))),'APA Inputs'!$J$24,0)+IF(N('APA Inputs'!$H$24)&gt;0,IF(CP$4=EDATE('APA Inputs'!$C$24,'APA Inputs'!$H$24-1),N('APA Inputs'!$G$24),0),0))*IF('APA Inputs'!$I$24="",1,'APA Inputs'!$I$24))</f>
        <v>0</v>
      </c>
      <c r="CQ9" s="419" t="n">
        <f aca="false">IF('APA Inputs'!$C$24="",0,(IF(AND(CQ$4&gt;='APA Inputs'!$C$24,CQ$4&lt;EDATE('APA Inputs'!$C$24,N('APA Inputs'!$D$24))),'APA Inputs'!$J$24,0)+IF(N('APA Inputs'!$H$24)&gt;0,IF(CQ$4=EDATE('APA Inputs'!$C$24,'APA Inputs'!$H$24-1),N('APA Inputs'!$G$24),0),0))*IF('APA Inputs'!$I$24="",1,'APA Inputs'!$I$24))</f>
        <v>0</v>
      </c>
      <c r="CR9" s="419" t="n">
        <f aca="false">IF('APA Inputs'!$C$24="",0,(IF(AND(CR$4&gt;='APA Inputs'!$C$24,CR$4&lt;EDATE('APA Inputs'!$C$24,N('APA Inputs'!$D$24))),'APA Inputs'!$J$24,0)+IF(N('APA Inputs'!$H$24)&gt;0,IF(CR$4=EDATE('APA Inputs'!$C$24,'APA Inputs'!$H$24-1),N('APA Inputs'!$G$24),0),0))*IF('APA Inputs'!$I$24="",1,'APA Inputs'!$I$24))</f>
        <v>0</v>
      </c>
      <c r="CS9" s="419" t="n">
        <f aca="false">IF('APA Inputs'!$C$24="",0,(IF(AND(CS$4&gt;='APA Inputs'!$C$24,CS$4&lt;EDATE('APA Inputs'!$C$24,N('APA Inputs'!$D$24))),'APA Inputs'!$J$24,0)+IF(N('APA Inputs'!$H$24)&gt;0,IF(CS$4=EDATE('APA Inputs'!$C$24,'APA Inputs'!$H$24-1),N('APA Inputs'!$G$24),0),0))*IF('APA Inputs'!$I$24="",1,'APA Inputs'!$I$24))</f>
        <v>0</v>
      </c>
      <c r="CT9" s="419" t="n">
        <f aca="false">IF('APA Inputs'!$C$24="",0,(IF(AND(CT$4&gt;='APA Inputs'!$C$24,CT$4&lt;EDATE('APA Inputs'!$C$24,N('APA Inputs'!$D$24))),'APA Inputs'!$J$24,0)+IF(N('APA Inputs'!$H$24)&gt;0,IF(CT$4=EDATE('APA Inputs'!$C$24,'APA Inputs'!$H$24-1),N('APA Inputs'!$G$24),0),0))*IF('APA Inputs'!$I$24="",1,'APA Inputs'!$I$24))</f>
        <v>0</v>
      </c>
      <c r="CU9" s="419" t="n">
        <f aca="false">IF('APA Inputs'!$C$24="",0,(IF(AND(CU$4&gt;='APA Inputs'!$C$24,CU$4&lt;EDATE('APA Inputs'!$C$24,N('APA Inputs'!$D$24))),'APA Inputs'!$J$24,0)+IF(N('APA Inputs'!$H$24)&gt;0,IF(CU$4=EDATE('APA Inputs'!$C$24,'APA Inputs'!$H$24-1),N('APA Inputs'!$G$24),0),0))*IF('APA Inputs'!$I$24="",1,'APA Inputs'!$I$24))</f>
        <v>0</v>
      </c>
      <c r="CV9" s="419" t="n">
        <f aca="false">IF('APA Inputs'!$C$24="",0,(IF(AND(CV$4&gt;='APA Inputs'!$C$24,CV$4&lt;EDATE('APA Inputs'!$C$24,N('APA Inputs'!$D$24))),'APA Inputs'!$J$24,0)+IF(N('APA Inputs'!$H$24)&gt;0,IF(CV$4=EDATE('APA Inputs'!$C$24,'APA Inputs'!$H$24-1),N('APA Inputs'!$G$24),0),0))*IF('APA Inputs'!$I$24="",1,'APA Inputs'!$I$24))</f>
        <v>0</v>
      </c>
      <c r="CW9" s="419" t="n">
        <f aca="false">IF('APA Inputs'!$C$24="",0,(IF(AND(CW$4&gt;='APA Inputs'!$C$24,CW$4&lt;EDATE('APA Inputs'!$C$24,N('APA Inputs'!$D$24))),'APA Inputs'!$J$24,0)+IF(N('APA Inputs'!$H$24)&gt;0,IF(CW$4=EDATE('APA Inputs'!$C$24,'APA Inputs'!$H$24-1),N('APA Inputs'!$G$24),0),0))*IF('APA Inputs'!$I$24="",1,'APA Inputs'!$I$24))</f>
        <v>0</v>
      </c>
      <c r="CX9" s="419" t="n">
        <f aca="false">IF('APA Inputs'!$C$24="",0,(IF(AND(CX$4&gt;='APA Inputs'!$C$24,CX$4&lt;EDATE('APA Inputs'!$C$24,N('APA Inputs'!$D$24))),'APA Inputs'!$J$24,0)+IF(N('APA Inputs'!$H$24)&gt;0,IF(CX$4=EDATE('APA Inputs'!$C$24,'APA Inputs'!$H$24-1),N('APA Inputs'!$G$24),0),0))*IF('APA Inputs'!$I$24="",1,'APA Inputs'!$I$24))</f>
        <v>0</v>
      </c>
      <c r="CY9" s="419" t="n">
        <f aca="false">IF('APA Inputs'!$C$24="",0,(IF(AND(CY$4&gt;='APA Inputs'!$C$24,CY$4&lt;EDATE('APA Inputs'!$C$24,N('APA Inputs'!$D$24))),'APA Inputs'!$J$24,0)+IF(N('APA Inputs'!$H$24)&gt;0,IF(CY$4=EDATE('APA Inputs'!$C$24,'APA Inputs'!$H$24-1),N('APA Inputs'!$G$24),0),0))*IF('APA Inputs'!$I$24="",1,'APA Inputs'!$I$24))</f>
        <v>0</v>
      </c>
      <c r="CZ9" s="419" t="n">
        <f aca="false">IF('APA Inputs'!$C$24="",0,(IF(AND(CZ$4&gt;='APA Inputs'!$C$24,CZ$4&lt;EDATE('APA Inputs'!$C$24,N('APA Inputs'!$D$24))),'APA Inputs'!$J$24,0)+IF(N('APA Inputs'!$H$24)&gt;0,IF(CZ$4=EDATE('APA Inputs'!$C$24,'APA Inputs'!$H$24-1),N('APA Inputs'!$G$24),0),0))*IF('APA Inputs'!$I$24="",1,'APA Inputs'!$I$24))</f>
        <v>0</v>
      </c>
      <c r="DA9" s="419" t="n">
        <f aca="false">IF('APA Inputs'!$C$24="",0,(IF(AND(DA$4&gt;='APA Inputs'!$C$24,DA$4&lt;EDATE('APA Inputs'!$C$24,N('APA Inputs'!$D$24))),'APA Inputs'!$J$24,0)+IF(N('APA Inputs'!$H$24)&gt;0,IF(DA$4=EDATE('APA Inputs'!$C$24,'APA Inputs'!$H$24-1),N('APA Inputs'!$G$24),0),0))*IF('APA Inputs'!$I$24="",1,'APA Inputs'!$I$24))</f>
        <v>0</v>
      </c>
      <c r="DB9" s="419" t="n">
        <f aca="false">IF('APA Inputs'!$C$24="",0,(IF(AND(DB$4&gt;='APA Inputs'!$C$24,DB$4&lt;EDATE('APA Inputs'!$C$24,N('APA Inputs'!$D$24))),'APA Inputs'!$J$24,0)+IF(N('APA Inputs'!$H$24)&gt;0,IF(DB$4=EDATE('APA Inputs'!$C$24,'APA Inputs'!$H$24-1),N('APA Inputs'!$G$24),0),0))*IF('APA Inputs'!$I$24="",1,'APA Inputs'!$I$24))</f>
        <v>0</v>
      </c>
      <c r="DC9" s="419" t="n">
        <f aca="false">IF('APA Inputs'!$C$24="",0,(IF(AND(DC$4&gt;='APA Inputs'!$C$24,DC$4&lt;EDATE('APA Inputs'!$C$24,N('APA Inputs'!$D$24))),'APA Inputs'!$J$24,0)+IF(N('APA Inputs'!$H$24)&gt;0,IF(DC$4=EDATE('APA Inputs'!$C$24,'APA Inputs'!$H$24-1),N('APA Inputs'!$G$24),0),0))*IF('APA Inputs'!$I$24="",1,'APA Inputs'!$I$24))</f>
        <v>0</v>
      </c>
      <c r="DD9" s="419" t="n">
        <f aca="false">IF('APA Inputs'!$C$24="",0,(IF(AND(DD$4&gt;='APA Inputs'!$C$24,DD$4&lt;EDATE('APA Inputs'!$C$24,N('APA Inputs'!$D$24))),'APA Inputs'!$J$24,0)+IF(N('APA Inputs'!$H$24)&gt;0,IF(DD$4=EDATE('APA Inputs'!$C$24,'APA Inputs'!$H$24-1),N('APA Inputs'!$G$24),0),0))*IF('APA Inputs'!$I$24="",1,'APA Inputs'!$I$24))</f>
        <v>0</v>
      </c>
      <c r="DE9" s="419"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19" t="n">
        <f aca="false">IF('APA Inputs'!$C$25="",0,(IF(AND(B$4&gt;='APA Inputs'!$C$25,B$4&lt;EDATE('APA Inputs'!$C$25,N('APA Inputs'!$D$25))),'APA Inputs'!$J$25,0)+IF(N('APA Inputs'!$H$25)&gt;0,IF(B$4=EDATE('APA Inputs'!$C$25,'APA Inputs'!$H$25-1),N('APA Inputs'!$G$25),0),0))*IF('APA Inputs'!$I$25="",1,'APA Inputs'!$I$25))</f>
        <v>0</v>
      </c>
      <c r="C10" s="419" t="n">
        <f aca="false">IF('APA Inputs'!$C$25="",0,(IF(AND(C$4&gt;='APA Inputs'!$C$25,C$4&lt;EDATE('APA Inputs'!$C$25,N('APA Inputs'!$D$25))),'APA Inputs'!$J$25,0)+IF(N('APA Inputs'!$H$25)&gt;0,IF(C$4=EDATE('APA Inputs'!$C$25,'APA Inputs'!$H$25-1),N('APA Inputs'!$G$25),0),0))*IF('APA Inputs'!$I$25="",1,'APA Inputs'!$I$25))</f>
        <v>0</v>
      </c>
      <c r="D10" s="419" t="n">
        <f aca="false">IF('APA Inputs'!$C$25="",0,(IF(AND(D$4&gt;='APA Inputs'!$C$25,D$4&lt;EDATE('APA Inputs'!$C$25,N('APA Inputs'!$D$25))),'APA Inputs'!$J$25,0)+IF(N('APA Inputs'!$H$25)&gt;0,IF(D$4=EDATE('APA Inputs'!$C$25,'APA Inputs'!$H$25-1),N('APA Inputs'!$G$25),0),0))*IF('APA Inputs'!$I$25="",1,'APA Inputs'!$I$25))</f>
        <v>0</v>
      </c>
      <c r="E10" s="419" t="n">
        <f aca="false">IF('APA Inputs'!$C$25="",0,(IF(AND(E$4&gt;='APA Inputs'!$C$25,E$4&lt;EDATE('APA Inputs'!$C$25,N('APA Inputs'!$D$25))),'APA Inputs'!$J$25,0)+IF(N('APA Inputs'!$H$25)&gt;0,IF(E$4=EDATE('APA Inputs'!$C$25,'APA Inputs'!$H$25-1),N('APA Inputs'!$G$25),0),0))*IF('APA Inputs'!$I$25="",1,'APA Inputs'!$I$25))</f>
        <v>0</v>
      </c>
      <c r="F10" s="419" t="n">
        <f aca="false">IF('APA Inputs'!$C$25="",0,(IF(AND(F$4&gt;='APA Inputs'!$C$25,F$4&lt;EDATE('APA Inputs'!$C$25,N('APA Inputs'!$D$25))),'APA Inputs'!$J$25,0)+IF(N('APA Inputs'!$H$25)&gt;0,IF(F$4=EDATE('APA Inputs'!$C$25,'APA Inputs'!$H$25-1),N('APA Inputs'!$G$25),0),0))*IF('APA Inputs'!$I$25="",1,'APA Inputs'!$I$25))</f>
        <v>0</v>
      </c>
      <c r="G10" s="419" t="n">
        <f aca="false">IF('APA Inputs'!$C$25="",0,(IF(AND(G$4&gt;='APA Inputs'!$C$25,G$4&lt;EDATE('APA Inputs'!$C$25,N('APA Inputs'!$D$25))),'APA Inputs'!$J$25,0)+IF(N('APA Inputs'!$H$25)&gt;0,IF(G$4=EDATE('APA Inputs'!$C$25,'APA Inputs'!$H$25-1),N('APA Inputs'!$G$25),0),0))*IF('APA Inputs'!$I$25="",1,'APA Inputs'!$I$25))</f>
        <v>0</v>
      </c>
      <c r="H10" s="419" t="n">
        <f aca="false">IF('APA Inputs'!$C$25="",0,(IF(AND(H$4&gt;='APA Inputs'!$C$25,H$4&lt;EDATE('APA Inputs'!$C$25,N('APA Inputs'!$D$25))),'APA Inputs'!$J$25,0)+IF(N('APA Inputs'!$H$25)&gt;0,IF(H$4=EDATE('APA Inputs'!$C$25,'APA Inputs'!$H$25-1),N('APA Inputs'!$G$25),0),0))*IF('APA Inputs'!$I$25="",1,'APA Inputs'!$I$25))</f>
        <v>0</v>
      </c>
      <c r="I10" s="419" t="n">
        <f aca="false">IF('APA Inputs'!$C$25="",0,(IF(AND(I$4&gt;='APA Inputs'!$C$25,I$4&lt;EDATE('APA Inputs'!$C$25,N('APA Inputs'!$D$25))),'APA Inputs'!$J$25,0)+IF(N('APA Inputs'!$H$25)&gt;0,IF(I$4=EDATE('APA Inputs'!$C$25,'APA Inputs'!$H$25-1),N('APA Inputs'!$G$25),0),0))*IF('APA Inputs'!$I$25="",1,'APA Inputs'!$I$25))</f>
        <v>0</v>
      </c>
      <c r="J10" s="419" t="n">
        <f aca="false">IF('APA Inputs'!$C$25="",0,(IF(AND(J$4&gt;='APA Inputs'!$C$25,J$4&lt;EDATE('APA Inputs'!$C$25,N('APA Inputs'!$D$25))),'APA Inputs'!$J$25,0)+IF(N('APA Inputs'!$H$25)&gt;0,IF(J$4=EDATE('APA Inputs'!$C$25,'APA Inputs'!$H$25-1),N('APA Inputs'!$G$25),0),0))*IF('APA Inputs'!$I$25="",1,'APA Inputs'!$I$25))</f>
        <v>0</v>
      </c>
      <c r="K10" s="419" t="n">
        <f aca="false">IF('APA Inputs'!$C$25="",0,(IF(AND(K$4&gt;='APA Inputs'!$C$25,K$4&lt;EDATE('APA Inputs'!$C$25,N('APA Inputs'!$D$25))),'APA Inputs'!$J$25,0)+IF(N('APA Inputs'!$H$25)&gt;0,IF(K$4=EDATE('APA Inputs'!$C$25,'APA Inputs'!$H$25-1),N('APA Inputs'!$G$25),0),0))*IF('APA Inputs'!$I$25="",1,'APA Inputs'!$I$25))</f>
        <v>0</v>
      </c>
      <c r="L10" s="419" t="n">
        <f aca="false">IF('APA Inputs'!$C$25="",0,(IF(AND(L$4&gt;='APA Inputs'!$C$25,L$4&lt;EDATE('APA Inputs'!$C$25,N('APA Inputs'!$D$25))),'APA Inputs'!$J$25,0)+IF(N('APA Inputs'!$H$25)&gt;0,IF(L$4=EDATE('APA Inputs'!$C$25,'APA Inputs'!$H$25-1),N('APA Inputs'!$G$25),0),0))*IF('APA Inputs'!$I$25="",1,'APA Inputs'!$I$25))</f>
        <v>0</v>
      </c>
      <c r="M10" s="419" t="n">
        <f aca="false">IF('APA Inputs'!$C$25="",0,(IF(AND(M$4&gt;='APA Inputs'!$C$25,M$4&lt;EDATE('APA Inputs'!$C$25,N('APA Inputs'!$D$25))),'APA Inputs'!$J$25,0)+IF(N('APA Inputs'!$H$25)&gt;0,IF(M$4=EDATE('APA Inputs'!$C$25,'APA Inputs'!$H$25-1),N('APA Inputs'!$G$25),0),0))*IF('APA Inputs'!$I$25="",1,'APA Inputs'!$I$25))</f>
        <v>9750</v>
      </c>
      <c r="N10" s="419" t="n">
        <f aca="false">IF('APA Inputs'!$C$25="",0,(IF(AND(N$4&gt;='APA Inputs'!$C$25,N$4&lt;EDATE('APA Inputs'!$C$25,N('APA Inputs'!$D$25))),'APA Inputs'!$J$25,0)+IF(N('APA Inputs'!$H$25)&gt;0,IF(N$4=EDATE('APA Inputs'!$C$25,'APA Inputs'!$H$25-1),N('APA Inputs'!$G$25),0),0))*IF('APA Inputs'!$I$25="",1,'APA Inputs'!$I$25))</f>
        <v>9750</v>
      </c>
      <c r="O10" s="419" t="n">
        <f aca="false">IF('APA Inputs'!$C$25="",0,(IF(AND(O$4&gt;='APA Inputs'!$C$25,O$4&lt;EDATE('APA Inputs'!$C$25,N('APA Inputs'!$D$25))),'APA Inputs'!$J$25,0)+IF(N('APA Inputs'!$H$25)&gt;0,IF(O$4=EDATE('APA Inputs'!$C$25,'APA Inputs'!$H$25-1),N('APA Inputs'!$G$25),0),0))*IF('APA Inputs'!$I$25="",1,'APA Inputs'!$I$25))</f>
        <v>0</v>
      </c>
      <c r="P10" s="419" t="n">
        <f aca="false">IF('APA Inputs'!$C$25="",0,(IF(AND(P$4&gt;='APA Inputs'!$C$25,P$4&lt;EDATE('APA Inputs'!$C$25,N('APA Inputs'!$D$25))),'APA Inputs'!$J$25,0)+IF(N('APA Inputs'!$H$25)&gt;0,IF(P$4=EDATE('APA Inputs'!$C$25,'APA Inputs'!$H$25-1),N('APA Inputs'!$G$25),0),0))*IF('APA Inputs'!$I$25="",1,'APA Inputs'!$I$25))</f>
        <v>0</v>
      </c>
      <c r="Q10" s="419" t="n">
        <f aca="false">IF('APA Inputs'!$C$25="",0,(IF(AND(Q$4&gt;='APA Inputs'!$C$25,Q$4&lt;EDATE('APA Inputs'!$C$25,N('APA Inputs'!$D$25))),'APA Inputs'!$J$25,0)+IF(N('APA Inputs'!$H$25)&gt;0,IF(Q$4=EDATE('APA Inputs'!$C$25,'APA Inputs'!$H$25-1),N('APA Inputs'!$G$25),0),0))*IF('APA Inputs'!$I$25="",1,'APA Inputs'!$I$25))</f>
        <v>0</v>
      </c>
      <c r="R10" s="419" t="n">
        <f aca="false">IF('APA Inputs'!$C$25="",0,(IF(AND(R$4&gt;='APA Inputs'!$C$25,R$4&lt;EDATE('APA Inputs'!$C$25,N('APA Inputs'!$D$25))),'APA Inputs'!$J$25,0)+IF(N('APA Inputs'!$H$25)&gt;0,IF(R$4=EDATE('APA Inputs'!$C$25,'APA Inputs'!$H$25-1),N('APA Inputs'!$G$25),0),0))*IF('APA Inputs'!$I$25="",1,'APA Inputs'!$I$25))</f>
        <v>0</v>
      </c>
      <c r="S10" s="419" t="n">
        <f aca="false">IF('APA Inputs'!$C$25="",0,(IF(AND(S$4&gt;='APA Inputs'!$C$25,S$4&lt;EDATE('APA Inputs'!$C$25,N('APA Inputs'!$D$25))),'APA Inputs'!$J$25,0)+IF(N('APA Inputs'!$H$25)&gt;0,IF(S$4=EDATE('APA Inputs'!$C$25,'APA Inputs'!$H$25-1),N('APA Inputs'!$G$25),0),0))*IF('APA Inputs'!$I$25="",1,'APA Inputs'!$I$25))</f>
        <v>0</v>
      </c>
      <c r="T10" s="419" t="n">
        <f aca="false">IF('APA Inputs'!$C$25="",0,(IF(AND(T$4&gt;='APA Inputs'!$C$25,T$4&lt;EDATE('APA Inputs'!$C$25,N('APA Inputs'!$D$25))),'APA Inputs'!$J$25,0)+IF(N('APA Inputs'!$H$25)&gt;0,IF(T$4=EDATE('APA Inputs'!$C$25,'APA Inputs'!$H$25-1),N('APA Inputs'!$G$25),0),0))*IF('APA Inputs'!$I$25="",1,'APA Inputs'!$I$25))</f>
        <v>0</v>
      </c>
      <c r="U10" s="419" t="n">
        <f aca="false">IF('APA Inputs'!$C$25="",0,(IF(AND(U$4&gt;='APA Inputs'!$C$25,U$4&lt;EDATE('APA Inputs'!$C$25,N('APA Inputs'!$D$25))),'APA Inputs'!$J$25,0)+IF(N('APA Inputs'!$H$25)&gt;0,IF(U$4=EDATE('APA Inputs'!$C$25,'APA Inputs'!$H$25-1),N('APA Inputs'!$G$25),0),0))*IF('APA Inputs'!$I$25="",1,'APA Inputs'!$I$25))</f>
        <v>0</v>
      </c>
      <c r="V10" s="419" t="n">
        <f aca="false">IF('APA Inputs'!$C$25="",0,(IF(AND(V$4&gt;='APA Inputs'!$C$25,V$4&lt;EDATE('APA Inputs'!$C$25,N('APA Inputs'!$D$25))),'APA Inputs'!$J$25,0)+IF(N('APA Inputs'!$H$25)&gt;0,IF(V$4=EDATE('APA Inputs'!$C$25,'APA Inputs'!$H$25-1),N('APA Inputs'!$G$25),0),0))*IF('APA Inputs'!$I$25="",1,'APA Inputs'!$I$25))</f>
        <v>0</v>
      </c>
      <c r="W10" s="419" t="n">
        <f aca="false">IF('APA Inputs'!$C$25="",0,(IF(AND(W$4&gt;='APA Inputs'!$C$25,W$4&lt;EDATE('APA Inputs'!$C$25,N('APA Inputs'!$D$25))),'APA Inputs'!$J$25,0)+IF(N('APA Inputs'!$H$25)&gt;0,IF(W$4=EDATE('APA Inputs'!$C$25,'APA Inputs'!$H$25-1),N('APA Inputs'!$G$25),0),0))*IF('APA Inputs'!$I$25="",1,'APA Inputs'!$I$25))</f>
        <v>0</v>
      </c>
      <c r="X10" s="419" t="n">
        <f aca="false">IF('APA Inputs'!$C$25="",0,(IF(AND(X$4&gt;='APA Inputs'!$C$25,X$4&lt;EDATE('APA Inputs'!$C$25,N('APA Inputs'!$D$25))),'APA Inputs'!$J$25,0)+IF(N('APA Inputs'!$H$25)&gt;0,IF(X$4=EDATE('APA Inputs'!$C$25,'APA Inputs'!$H$25-1),N('APA Inputs'!$G$25),0),0))*IF('APA Inputs'!$I$25="",1,'APA Inputs'!$I$25))</f>
        <v>0</v>
      </c>
      <c r="Y10" s="419" t="n">
        <f aca="false">IF('APA Inputs'!$C$25="",0,(IF(AND(Y$4&gt;='APA Inputs'!$C$25,Y$4&lt;EDATE('APA Inputs'!$C$25,N('APA Inputs'!$D$25))),'APA Inputs'!$J$25,0)+IF(N('APA Inputs'!$H$25)&gt;0,IF(Y$4=EDATE('APA Inputs'!$C$25,'APA Inputs'!$H$25-1),N('APA Inputs'!$G$25),0),0))*IF('APA Inputs'!$I$25="",1,'APA Inputs'!$I$25))</f>
        <v>0</v>
      </c>
      <c r="Z10" s="419" t="n">
        <f aca="false">IF('APA Inputs'!$C$25="",0,(IF(AND(Z$4&gt;='APA Inputs'!$C$25,Z$4&lt;EDATE('APA Inputs'!$C$25,N('APA Inputs'!$D$25))),'APA Inputs'!$J$25,0)+IF(N('APA Inputs'!$H$25)&gt;0,IF(Z$4=EDATE('APA Inputs'!$C$25,'APA Inputs'!$H$25-1),N('APA Inputs'!$G$25),0),0))*IF('APA Inputs'!$I$25="",1,'APA Inputs'!$I$25))</f>
        <v>0</v>
      </c>
      <c r="AA10" s="419" t="n">
        <f aca="false">IF('APA Inputs'!$C$25="",0,(IF(AND(AA$4&gt;='APA Inputs'!$C$25,AA$4&lt;EDATE('APA Inputs'!$C$25,N('APA Inputs'!$D$25))),'APA Inputs'!$J$25,0)+IF(N('APA Inputs'!$H$25)&gt;0,IF(AA$4=EDATE('APA Inputs'!$C$25,'APA Inputs'!$H$25-1),N('APA Inputs'!$G$25),0),0))*IF('APA Inputs'!$I$25="",1,'APA Inputs'!$I$25))</f>
        <v>0</v>
      </c>
      <c r="AB10" s="419" t="n">
        <f aca="false">IF('APA Inputs'!$C$25="",0,(IF(AND(AB$4&gt;='APA Inputs'!$C$25,AB$4&lt;EDATE('APA Inputs'!$C$25,N('APA Inputs'!$D$25))),'APA Inputs'!$J$25,0)+IF(N('APA Inputs'!$H$25)&gt;0,IF(AB$4=EDATE('APA Inputs'!$C$25,'APA Inputs'!$H$25-1),N('APA Inputs'!$G$25),0),0))*IF('APA Inputs'!$I$25="",1,'APA Inputs'!$I$25))</f>
        <v>0</v>
      </c>
      <c r="AC10" s="419" t="n">
        <f aca="false">IF('APA Inputs'!$C$25="",0,(IF(AND(AC$4&gt;='APA Inputs'!$C$25,AC$4&lt;EDATE('APA Inputs'!$C$25,N('APA Inputs'!$D$25))),'APA Inputs'!$J$25,0)+IF(N('APA Inputs'!$H$25)&gt;0,IF(AC$4=EDATE('APA Inputs'!$C$25,'APA Inputs'!$H$25-1),N('APA Inputs'!$G$25),0),0))*IF('APA Inputs'!$I$25="",1,'APA Inputs'!$I$25))</f>
        <v>0</v>
      </c>
      <c r="AD10" s="419" t="n">
        <f aca="false">IF('APA Inputs'!$C$25="",0,(IF(AND(AD$4&gt;='APA Inputs'!$C$25,AD$4&lt;EDATE('APA Inputs'!$C$25,N('APA Inputs'!$D$25))),'APA Inputs'!$J$25,0)+IF(N('APA Inputs'!$H$25)&gt;0,IF(AD$4=EDATE('APA Inputs'!$C$25,'APA Inputs'!$H$25-1),N('APA Inputs'!$G$25),0),0))*IF('APA Inputs'!$I$25="",1,'APA Inputs'!$I$25))</f>
        <v>0</v>
      </c>
      <c r="AE10" s="419" t="n">
        <f aca="false">IF('APA Inputs'!$C$25="",0,(IF(AND(AE$4&gt;='APA Inputs'!$C$25,AE$4&lt;EDATE('APA Inputs'!$C$25,N('APA Inputs'!$D$25))),'APA Inputs'!$J$25,0)+IF(N('APA Inputs'!$H$25)&gt;0,IF(AE$4=EDATE('APA Inputs'!$C$25,'APA Inputs'!$H$25-1),N('APA Inputs'!$G$25),0),0))*IF('APA Inputs'!$I$25="",1,'APA Inputs'!$I$25))</f>
        <v>0</v>
      </c>
      <c r="AF10" s="419" t="n">
        <f aca="false">IF('APA Inputs'!$C$25="",0,(IF(AND(AF$4&gt;='APA Inputs'!$C$25,AF$4&lt;EDATE('APA Inputs'!$C$25,N('APA Inputs'!$D$25))),'APA Inputs'!$J$25,0)+IF(N('APA Inputs'!$H$25)&gt;0,IF(AF$4=EDATE('APA Inputs'!$C$25,'APA Inputs'!$H$25-1),N('APA Inputs'!$G$25),0),0))*IF('APA Inputs'!$I$25="",1,'APA Inputs'!$I$25))</f>
        <v>0</v>
      </c>
      <c r="AG10" s="419" t="n">
        <f aca="false">IF('APA Inputs'!$C$25="",0,(IF(AND(AG$4&gt;='APA Inputs'!$C$25,AG$4&lt;EDATE('APA Inputs'!$C$25,N('APA Inputs'!$D$25))),'APA Inputs'!$J$25,0)+IF(N('APA Inputs'!$H$25)&gt;0,IF(AG$4=EDATE('APA Inputs'!$C$25,'APA Inputs'!$H$25-1),N('APA Inputs'!$G$25),0),0))*IF('APA Inputs'!$I$25="",1,'APA Inputs'!$I$25))</f>
        <v>0</v>
      </c>
      <c r="AH10" s="419" t="n">
        <f aca="false">IF('APA Inputs'!$C$25="",0,(IF(AND(AH$4&gt;='APA Inputs'!$C$25,AH$4&lt;EDATE('APA Inputs'!$C$25,N('APA Inputs'!$D$25))),'APA Inputs'!$J$25,0)+IF(N('APA Inputs'!$H$25)&gt;0,IF(AH$4=EDATE('APA Inputs'!$C$25,'APA Inputs'!$H$25-1),N('APA Inputs'!$G$25),0),0))*IF('APA Inputs'!$I$25="",1,'APA Inputs'!$I$25))</f>
        <v>0</v>
      </c>
      <c r="AI10" s="419" t="n">
        <f aca="false">IF('APA Inputs'!$C$25="",0,(IF(AND(AI$4&gt;='APA Inputs'!$C$25,AI$4&lt;EDATE('APA Inputs'!$C$25,N('APA Inputs'!$D$25))),'APA Inputs'!$J$25,0)+IF(N('APA Inputs'!$H$25)&gt;0,IF(AI$4=EDATE('APA Inputs'!$C$25,'APA Inputs'!$H$25-1),N('APA Inputs'!$G$25),0),0))*IF('APA Inputs'!$I$25="",1,'APA Inputs'!$I$25))</f>
        <v>0</v>
      </c>
      <c r="AJ10" s="419" t="n">
        <f aca="false">IF('APA Inputs'!$C$25="",0,(IF(AND(AJ$4&gt;='APA Inputs'!$C$25,AJ$4&lt;EDATE('APA Inputs'!$C$25,N('APA Inputs'!$D$25))),'APA Inputs'!$J$25,0)+IF(N('APA Inputs'!$H$25)&gt;0,IF(AJ$4=EDATE('APA Inputs'!$C$25,'APA Inputs'!$H$25-1),N('APA Inputs'!$G$25),0),0))*IF('APA Inputs'!$I$25="",1,'APA Inputs'!$I$25))</f>
        <v>0</v>
      </c>
      <c r="AK10" s="419" t="n">
        <f aca="false">IF('APA Inputs'!$C$25="",0,(IF(AND(AK$4&gt;='APA Inputs'!$C$25,AK$4&lt;EDATE('APA Inputs'!$C$25,N('APA Inputs'!$D$25))),'APA Inputs'!$J$25,0)+IF(N('APA Inputs'!$H$25)&gt;0,IF(AK$4=EDATE('APA Inputs'!$C$25,'APA Inputs'!$H$25-1),N('APA Inputs'!$G$25),0),0))*IF('APA Inputs'!$I$25="",1,'APA Inputs'!$I$25))</f>
        <v>0</v>
      </c>
      <c r="AL10" s="419" t="n">
        <f aca="false">IF('APA Inputs'!$C$25="",0,(IF(AND(AL$4&gt;='APA Inputs'!$C$25,AL$4&lt;EDATE('APA Inputs'!$C$25,N('APA Inputs'!$D$25))),'APA Inputs'!$J$25,0)+IF(N('APA Inputs'!$H$25)&gt;0,IF(AL$4=EDATE('APA Inputs'!$C$25,'APA Inputs'!$H$25-1),N('APA Inputs'!$G$25),0),0))*IF('APA Inputs'!$I$25="",1,'APA Inputs'!$I$25))</f>
        <v>0</v>
      </c>
      <c r="AM10" s="419" t="n">
        <f aca="false">IF('APA Inputs'!$C$25="",0,(IF(AND(AM$4&gt;='APA Inputs'!$C$25,AM$4&lt;EDATE('APA Inputs'!$C$25,N('APA Inputs'!$D$25))),'APA Inputs'!$J$25,0)+IF(N('APA Inputs'!$H$25)&gt;0,IF(AM$4=EDATE('APA Inputs'!$C$25,'APA Inputs'!$H$25-1),N('APA Inputs'!$G$25),0),0))*IF('APA Inputs'!$I$25="",1,'APA Inputs'!$I$25))</f>
        <v>0</v>
      </c>
      <c r="AN10" s="419" t="n">
        <f aca="false">IF('APA Inputs'!$C$25="",0,(IF(AND(AN$4&gt;='APA Inputs'!$C$25,AN$4&lt;EDATE('APA Inputs'!$C$25,N('APA Inputs'!$D$25))),'APA Inputs'!$J$25,0)+IF(N('APA Inputs'!$H$25)&gt;0,IF(AN$4=EDATE('APA Inputs'!$C$25,'APA Inputs'!$H$25-1),N('APA Inputs'!$G$25),0),0))*IF('APA Inputs'!$I$25="",1,'APA Inputs'!$I$25))</f>
        <v>0</v>
      </c>
      <c r="AO10" s="419" t="n">
        <f aca="false">IF('APA Inputs'!$C$25="",0,(IF(AND(AO$4&gt;='APA Inputs'!$C$25,AO$4&lt;EDATE('APA Inputs'!$C$25,N('APA Inputs'!$D$25))),'APA Inputs'!$J$25,0)+IF(N('APA Inputs'!$H$25)&gt;0,IF(AO$4=EDATE('APA Inputs'!$C$25,'APA Inputs'!$H$25-1),N('APA Inputs'!$G$25),0),0))*IF('APA Inputs'!$I$25="",1,'APA Inputs'!$I$25))</f>
        <v>0</v>
      </c>
      <c r="AP10" s="419" t="n">
        <f aca="false">IF('APA Inputs'!$C$25="",0,(IF(AND(AP$4&gt;='APA Inputs'!$C$25,AP$4&lt;EDATE('APA Inputs'!$C$25,N('APA Inputs'!$D$25))),'APA Inputs'!$J$25,0)+IF(N('APA Inputs'!$H$25)&gt;0,IF(AP$4=EDATE('APA Inputs'!$C$25,'APA Inputs'!$H$25-1),N('APA Inputs'!$G$25),0),0))*IF('APA Inputs'!$I$25="",1,'APA Inputs'!$I$25))</f>
        <v>0</v>
      </c>
      <c r="AQ10" s="419" t="n">
        <f aca="false">IF('APA Inputs'!$C$25="",0,(IF(AND(AQ$4&gt;='APA Inputs'!$C$25,AQ$4&lt;EDATE('APA Inputs'!$C$25,N('APA Inputs'!$D$25))),'APA Inputs'!$J$25,0)+IF(N('APA Inputs'!$H$25)&gt;0,IF(AQ$4=EDATE('APA Inputs'!$C$25,'APA Inputs'!$H$25-1),N('APA Inputs'!$G$25),0),0))*IF('APA Inputs'!$I$25="",1,'APA Inputs'!$I$25))</f>
        <v>0</v>
      </c>
      <c r="AR10" s="419" t="n">
        <f aca="false">IF('APA Inputs'!$C$25="",0,(IF(AND(AR$4&gt;='APA Inputs'!$C$25,AR$4&lt;EDATE('APA Inputs'!$C$25,N('APA Inputs'!$D$25))),'APA Inputs'!$J$25,0)+IF(N('APA Inputs'!$H$25)&gt;0,IF(AR$4=EDATE('APA Inputs'!$C$25,'APA Inputs'!$H$25-1),N('APA Inputs'!$G$25),0),0))*IF('APA Inputs'!$I$25="",1,'APA Inputs'!$I$25))</f>
        <v>0</v>
      </c>
      <c r="AS10" s="419" t="n">
        <f aca="false">IF('APA Inputs'!$C$25="",0,(IF(AND(AS$4&gt;='APA Inputs'!$C$25,AS$4&lt;EDATE('APA Inputs'!$C$25,N('APA Inputs'!$D$25))),'APA Inputs'!$J$25,0)+IF(N('APA Inputs'!$H$25)&gt;0,IF(AS$4=EDATE('APA Inputs'!$C$25,'APA Inputs'!$H$25-1),N('APA Inputs'!$G$25),0),0))*IF('APA Inputs'!$I$25="",1,'APA Inputs'!$I$25))</f>
        <v>0</v>
      </c>
      <c r="AT10" s="419" t="n">
        <f aca="false">IF('APA Inputs'!$C$25="",0,(IF(AND(AT$4&gt;='APA Inputs'!$C$25,AT$4&lt;EDATE('APA Inputs'!$C$25,N('APA Inputs'!$D$25))),'APA Inputs'!$J$25,0)+IF(N('APA Inputs'!$H$25)&gt;0,IF(AT$4=EDATE('APA Inputs'!$C$25,'APA Inputs'!$H$25-1),N('APA Inputs'!$G$25),0),0))*IF('APA Inputs'!$I$25="",1,'APA Inputs'!$I$25))</f>
        <v>0</v>
      </c>
      <c r="AU10" s="419" t="n">
        <f aca="false">IF('APA Inputs'!$C$25="",0,(IF(AND(AU$4&gt;='APA Inputs'!$C$25,AU$4&lt;EDATE('APA Inputs'!$C$25,N('APA Inputs'!$D$25))),'APA Inputs'!$J$25,0)+IF(N('APA Inputs'!$H$25)&gt;0,IF(AU$4=EDATE('APA Inputs'!$C$25,'APA Inputs'!$H$25-1),N('APA Inputs'!$G$25),0),0))*IF('APA Inputs'!$I$25="",1,'APA Inputs'!$I$25))</f>
        <v>0</v>
      </c>
      <c r="AV10" s="419" t="n">
        <f aca="false">IF('APA Inputs'!$C$25="",0,(IF(AND(AV$4&gt;='APA Inputs'!$C$25,AV$4&lt;EDATE('APA Inputs'!$C$25,N('APA Inputs'!$D$25))),'APA Inputs'!$J$25,0)+IF(N('APA Inputs'!$H$25)&gt;0,IF(AV$4=EDATE('APA Inputs'!$C$25,'APA Inputs'!$H$25-1),N('APA Inputs'!$G$25),0),0))*IF('APA Inputs'!$I$25="",1,'APA Inputs'!$I$25))</f>
        <v>0</v>
      </c>
      <c r="AW10" s="419" t="n">
        <f aca="false">IF('APA Inputs'!$C$25="",0,(IF(AND(AW$4&gt;='APA Inputs'!$C$25,AW$4&lt;EDATE('APA Inputs'!$C$25,N('APA Inputs'!$D$25))),'APA Inputs'!$J$25,0)+IF(N('APA Inputs'!$H$25)&gt;0,IF(AW$4=EDATE('APA Inputs'!$C$25,'APA Inputs'!$H$25-1),N('APA Inputs'!$G$25),0),0))*IF('APA Inputs'!$I$25="",1,'APA Inputs'!$I$25))</f>
        <v>0</v>
      </c>
      <c r="AX10" s="419" t="n">
        <f aca="false">IF('APA Inputs'!$C$25="",0,(IF(AND(AX$4&gt;='APA Inputs'!$C$25,AX$4&lt;EDATE('APA Inputs'!$C$25,N('APA Inputs'!$D$25))),'APA Inputs'!$J$25,0)+IF(N('APA Inputs'!$H$25)&gt;0,IF(AX$4=EDATE('APA Inputs'!$C$25,'APA Inputs'!$H$25-1),N('APA Inputs'!$G$25),0),0))*IF('APA Inputs'!$I$25="",1,'APA Inputs'!$I$25))</f>
        <v>0</v>
      </c>
      <c r="AY10" s="419" t="n">
        <f aca="false">IF('APA Inputs'!$C$25="",0,(IF(AND(AY$4&gt;='APA Inputs'!$C$25,AY$4&lt;EDATE('APA Inputs'!$C$25,N('APA Inputs'!$D$25))),'APA Inputs'!$J$25,0)+IF(N('APA Inputs'!$H$25)&gt;0,IF(AY$4=EDATE('APA Inputs'!$C$25,'APA Inputs'!$H$25-1),N('APA Inputs'!$G$25),0),0))*IF('APA Inputs'!$I$25="",1,'APA Inputs'!$I$25))</f>
        <v>0</v>
      </c>
      <c r="AZ10" s="419" t="n">
        <f aca="false">IF('APA Inputs'!$C$25="",0,(IF(AND(AZ$4&gt;='APA Inputs'!$C$25,AZ$4&lt;EDATE('APA Inputs'!$C$25,N('APA Inputs'!$D$25))),'APA Inputs'!$J$25,0)+IF(N('APA Inputs'!$H$25)&gt;0,IF(AZ$4=EDATE('APA Inputs'!$C$25,'APA Inputs'!$H$25-1),N('APA Inputs'!$G$25),0),0))*IF('APA Inputs'!$I$25="",1,'APA Inputs'!$I$25))</f>
        <v>0</v>
      </c>
      <c r="BA10" s="419" t="n">
        <f aca="false">IF('APA Inputs'!$C$25="",0,(IF(AND(BA$4&gt;='APA Inputs'!$C$25,BA$4&lt;EDATE('APA Inputs'!$C$25,N('APA Inputs'!$D$25))),'APA Inputs'!$J$25,0)+IF(N('APA Inputs'!$H$25)&gt;0,IF(BA$4=EDATE('APA Inputs'!$C$25,'APA Inputs'!$H$25-1),N('APA Inputs'!$G$25),0),0))*IF('APA Inputs'!$I$25="",1,'APA Inputs'!$I$25))</f>
        <v>0</v>
      </c>
      <c r="BB10" s="419" t="n">
        <f aca="false">IF('APA Inputs'!$C$25="",0,(IF(AND(BB$4&gt;='APA Inputs'!$C$25,BB$4&lt;EDATE('APA Inputs'!$C$25,N('APA Inputs'!$D$25))),'APA Inputs'!$J$25,0)+IF(N('APA Inputs'!$H$25)&gt;0,IF(BB$4=EDATE('APA Inputs'!$C$25,'APA Inputs'!$H$25-1),N('APA Inputs'!$G$25),0),0))*IF('APA Inputs'!$I$25="",1,'APA Inputs'!$I$25))</f>
        <v>0</v>
      </c>
      <c r="BC10" s="419" t="n">
        <f aca="false">IF('APA Inputs'!$C$25="",0,(IF(AND(BC$4&gt;='APA Inputs'!$C$25,BC$4&lt;EDATE('APA Inputs'!$C$25,N('APA Inputs'!$D$25))),'APA Inputs'!$J$25,0)+IF(N('APA Inputs'!$H$25)&gt;0,IF(BC$4=EDATE('APA Inputs'!$C$25,'APA Inputs'!$H$25-1),N('APA Inputs'!$G$25),0),0))*IF('APA Inputs'!$I$25="",1,'APA Inputs'!$I$25))</f>
        <v>0</v>
      </c>
      <c r="BD10" s="419" t="n">
        <f aca="false">IF('APA Inputs'!$C$25="",0,(IF(AND(BD$4&gt;='APA Inputs'!$C$25,BD$4&lt;EDATE('APA Inputs'!$C$25,N('APA Inputs'!$D$25))),'APA Inputs'!$J$25,0)+IF(N('APA Inputs'!$H$25)&gt;0,IF(BD$4=EDATE('APA Inputs'!$C$25,'APA Inputs'!$H$25-1),N('APA Inputs'!$G$25),0),0))*IF('APA Inputs'!$I$25="",1,'APA Inputs'!$I$25))</f>
        <v>0</v>
      </c>
      <c r="BE10" s="419" t="n">
        <f aca="false">IF('APA Inputs'!$C$25="",0,(IF(AND(BE$4&gt;='APA Inputs'!$C$25,BE$4&lt;EDATE('APA Inputs'!$C$25,N('APA Inputs'!$D$25))),'APA Inputs'!$J$25,0)+IF(N('APA Inputs'!$H$25)&gt;0,IF(BE$4=EDATE('APA Inputs'!$C$25,'APA Inputs'!$H$25-1),N('APA Inputs'!$G$25),0),0))*IF('APA Inputs'!$I$25="",1,'APA Inputs'!$I$25))</f>
        <v>0</v>
      </c>
      <c r="BF10" s="419" t="n">
        <f aca="false">IF('APA Inputs'!$C$25="",0,(IF(AND(BF$4&gt;='APA Inputs'!$C$25,BF$4&lt;EDATE('APA Inputs'!$C$25,N('APA Inputs'!$D$25))),'APA Inputs'!$J$25,0)+IF(N('APA Inputs'!$H$25)&gt;0,IF(BF$4=EDATE('APA Inputs'!$C$25,'APA Inputs'!$H$25-1),N('APA Inputs'!$G$25),0),0))*IF('APA Inputs'!$I$25="",1,'APA Inputs'!$I$25))</f>
        <v>0</v>
      </c>
      <c r="BG10" s="419" t="n">
        <f aca="false">IF('APA Inputs'!$C$25="",0,(IF(AND(BG$4&gt;='APA Inputs'!$C$25,BG$4&lt;EDATE('APA Inputs'!$C$25,N('APA Inputs'!$D$25))),'APA Inputs'!$J$25,0)+IF(N('APA Inputs'!$H$25)&gt;0,IF(BG$4=EDATE('APA Inputs'!$C$25,'APA Inputs'!$H$25-1),N('APA Inputs'!$G$25),0),0))*IF('APA Inputs'!$I$25="",1,'APA Inputs'!$I$25))</f>
        <v>0</v>
      </c>
      <c r="BH10" s="419" t="n">
        <f aca="false">IF('APA Inputs'!$C$25="",0,(IF(AND(BH$4&gt;='APA Inputs'!$C$25,BH$4&lt;EDATE('APA Inputs'!$C$25,N('APA Inputs'!$D$25))),'APA Inputs'!$J$25,0)+IF(N('APA Inputs'!$H$25)&gt;0,IF(BH$4=EDATE('APA Inputs'!$C$25,'APA Inputs'!$H$25-1),N('APA Inputs'!$G$25),0),0))*IF('APA Inputs'!$I$25="",1,'APA Inputs'!$I$25))</f>
        <v>0</v>
      </c>
      <c r="BI10" s="419" t="n">
        <f aca="false">IF('APA Inputs'!$C$25="",0,(IF(AND(BI$4&gt;='APA Inputs'!$C$25,BI$4&lt;EDATE('APA Inputs'!$C$25,N('APA Inputs'!$D$25))),'APA Inputs'!$J$25,0)+IF(N('APA Inputs'!$H$25)&gt;0,IF(BI$4=EDATE('APA Inputs'!$C$25,'APA Inputs'!$H$25-1),N('APA Inputs'!$G$25),0),0))*IF('APA Inputs'!$I$25="",1,'APA Inputs'!$I$25))</f>
        <v>0</v>
      </c>
      <c r="BJ10" s="419" t="n">
        <f aca="false">IF('APA Inputs'!$C$25="",0,(IF(AND(BJ$4&gt;='APA Inputs'!$C$25,BJ$4&lt;EDATE('APA Inputs'!$C$25,N('APA Inputs'!$D$25))),'APA Inputs'!$J$25,0)+IF(N('APA Inputs'!$H$25)&gt;0,IF(BJ$4=EDATE('APA Inputs'!$C$25,'APA Inputs'!$H$25-1),N('APA Inputs'!$G$25),0),0))*IF('APA Inputs'!$I$25="",1,'APA Inputs'!$I$25))</f>
        <v>0</v>
      </c>
      <c r="BK10" s="419" t="n">
        <f aca="false">IF('APA Inputs'!$C$25="",0,(IF(AND(BK$4&gt;='APA Inputs'!$C$25,BK$4&lt;EDATE('APA Inputs'!$C$25,N('APA Inputs'!$D$25))),'APA Inputs'!$J$25,0)+IF(N('APA Inputs'!$H$25)&gt;0,IF(BK$4=EDATE('APA Inputs'!$C$25,'APA Inputs'!$H$25-1),N('APA Inputs'!$G$25),0),0))*IF('APA Inputs'!$I$25="",1,'APA Inputs'!$I$25))</f>
        <v>0</v>
      </c>
      <c r="BL10" s="419" t="n">
        <f aca="false">IF('APA Inputs'!$C$25="",0,(IF(AND(BL$4&gt;='APA Inputs'!$C$25,BL$4&lt;EDATE('APA Inputs'!$C$25,N('APA Inputs'!$D$25))),'APA Inputs'!$J$25,0)+IF(N('APA Inputs'!$H$25)&gt;0,IF(BL$4=EDATE('APA Inputs'!$C$25,'APA Inputs'!$H$25-1),N('APA Inputs'!$G$25),0),0))*IF('APA Inputs'!$I$25="",1,'APA Inputs'!$I$25))</f>
        <v>0</v>
      </c>
      <c r="BM10" s="419" t="n">
        <f aca="false">IF('APA Inputs'!$C$25="",0,(IF(AND(BM$4&gt;='APA Inputs'!$C$25,BM$4&lt;EDATE('APA Inputs'!$C$25,N('APA Inputs'!$D$25))),'APA Inputs'!$J$25,0)+IF(N('APA Inputs'!$H$25)&gt;0,IF(BM$4=EDATE('APA Inputs'!$C$25,'APA Inputs'!$H$25-1),N('APA Inputs'!$G$25),0),0))*IF('APA Inputs'!$I$25="",1,'APA Inputs'!$I$25))</f>
        <v>0</v>
      </c>
      <c r="BN10" s="419" t="n">
        <f aca="false">IF('APA Inputs'!$C$25="",0,(IF(AND(BN$4&gt;='APA Inputs'!$C$25,BN$4&lt;EDATE('APA Inputs'!$C$25,N('APA Inputs'!$D$25))),'APA Inputs'!$J$25,0)+IF(N('APA Inputs'!$H$25)&gt;0,IF(BN$4=EDATE('APA Inputs'!$C$25,'APA Inputs'!$H$25-1),N('APA Inputs'!$G$25),0),0))*IF('APA Inputs'!$I$25="",1,'APA Inputs'!$I$25))</f>
        <v>0</v>
      </c>
      <c r="BO10" s="419" t="n">
        <f aca="false">IF('APA Inputs'!$C$25="",0,(IF(AND(BO$4&gt;='APA Inputs'!$C$25,BO$4&lt;EDATE('APA Inputs'!$C$25,N('APA Inputs'!$D$25))),'APA Inputs'!$J$25,0)+IF(N('APA Inputs'!$H$25)&gt;0,IF(BO$4=EDATE('APA Inputs'!$C$25,'APA Inputs'!$H$25-1),N('APA Inputs'!$G$25),0),0))*IF('APA Inputs'!$I$25="",1,'APA Inputs'!$I$25))</f>
        <v>0</v>
      </c>
      <c r="BP10" s="419" t="n">
        <f aca="false">IF('APA Inputs'!$C$25="",0,(IF(AND(BP$4&gt;='APA Inputs'!$C$25,BP$4&lt;EDATE('APA Inputs'!$C$25,N('APA Inputs'!$D$25))),'APA Inputs'!$J$25,0)+IF(N('APA Inputs'!$H$25)&gt;0,IF(BP$4=EDATE('APA Inputs'!$C$25,'APA Inputs'!$H$25-1),N('APA Inputs'!$G$25),0),0))*IF('APA Inputs'!$I$25="",1,'APA Inputs'!$I$25))</f>
        <v>0</v>
      </c>
      <c r="BQ10" s="419" t="n">
        <f aca="false">IF('APA Inputs'!$C$25="",0,(IF(AND(BQ$4&gt;='APA Inputs'!$C$25,BQ$4&lt;EDATE('APA Inputs'!$C$25,N('APA Inputs'!$D$25))),'APA Inputs'!$J$25,0)+IF(N('APA Inputs'!$H$25)&gt;0,IF(BQ$4=EDATE('APA Inputs'!$C$25,'APA Inputs'!$H$25-1),N('APA Inputs'!$G$25),0),0))*IF('APA Inputs'!$I$25="",1,'APA Inputs'!$I$25))</f>
        <v>0</v>
      </c>
      <c r="BR10" s="419" t="n">
        <f aca="false">IF('APA Inputs'!$C$25="",0,(IF(AND(BR$4&gt;='APA Inputs'!$C$25,BR$4&lt;EDATE('APA Inputs'!$C$25,N('APA Inputs'!$D$25))),'APA Inputs'!$J$25,0)+IF(N('APA Inputs'!$H$25)&gt;0,IF(BR$4=EDATE('APA Inputs'!$C$25,'APA Inputs'!$H$25-1),N('APA Inputs'!$G$25),0),0))*IF('APA Inputs'!$I$25="",1,'APA Inputs'!$I$25))</f>
        <v>0</v>
      </c>
      <c r="BS10" s="419" t="n">
        <f aca="false">IF('APA Inputs'!$C$25="",0,(IF(AND(BS$4&gt;='APA Inputs'!$C$25,BS$4&lt;EDATE('APA Inputs'!$C$25,N('APA Inputs'!$D$25))),'APA Inputs'!$J$25,0)+IF(N('APA Inputs'!$H$25)&gt;0,IF(BS$4=EDATE('APA Inputs'!$C$25,'APA Inputs'!$H$25-1),N('APA Inputs'!$G$25),0),0))*IF('APA Inputs'!$I$25="",1,'APA Inputs'!$I$25))</f>
        <v>0</v>
      </c>
      <c r="BT10" s="419" t="n">
        <f aca="false">IF('APA Inputs'!$C$25="",0,(IF(AND(BT$4&gt;='APA Inputs'!$C$25,BT$4&lt;EDATE('APA Inputs'!$C$25,N('APA Inputs'!$D$25))),'APA Inputs'!$J$25,0)+IF(N('APA Inputs'!$H$25)&gt;0,IF(BT$4=EDATE('APA Inputs'!$C$25,'APA Inputs'!$H$25-1),N('APA Inputs'!$G$25),0),0))*IF('APA Inputs'!$I$25="",1,'APA Inputs'!$I$25))</f>
        <v>0</v>
      </c>
      <c r="BU10" s="419" t="n">
        <f aca="false">IF('APA Inputs'!$C$25="",0,(IF(AND(BU$4&gt;='APA Inputs'!$C$25,BU$4&lt;EDATE('APA Inputs'!$C$25,N('APA Inputs'!$D$25))),'APA Inputs'!$J$25,0)+IF(N('APA Inputs'!$H$25)&gt;0,IF(BU$4=EDATE('APA Inputs'!$C$25,'APA Inputs'!$H$25-1),N('APA Inputs'!$G$25),0),0))*IF('APA Inputs'!$I$25="",1,'APA Inputs'!$I$25))</f>
        <v>0</v>
      </c>
      <c r="BV10" s="419" t="n">
        <f aca="false">IF('APA Inputs'!$C$25="",0,(IF(AND(BV$4&gt;='APA Inputs'!$C$25,BV$4&lt;EDATE('APA Inputs'!$C$25,N('APA Inputs'!$D$25))),'APA Inputs'!$J$25,0)+IF(N('APA Inputs'!$H$25)&gt;0,IF(BV$4=EDATE('APA Inputs'!$C$25,'APA Inputs'!$H$25-1),N('APA Inputs'!$G$25),0),0))*IF('APA Inputs'!$I$25="",1,'APA Inputs'!$I$25))</f>
        <v>0</v>
      </c>
      <c r="BW10" s="419" t="n">
        <f aca="false">IF('APA Inputs'!$C$25="",0,(IF(AND(BW$4&gt;='APA Inputs'!$C$25,BW$4&lt;EDATE('APA Inputs'!$C$25,N('APA Inputs'!$D$25))),'APA Inputs'!$J$25,0)+IF(N('APA Inputs'!$H$25)&gt;0,IF(BW$4=EDATE('APA Inputs'!$C$25,'APA Inputs'!$H$25-1),N('APA Inputs'!$G$25),0),0))*IF('APA Inputs'!$I$25="",1,'APA Inputs'!$I$25))</f>
        <v>0</v>
      </c>
      <c r="BX10" s="419" t="n">
        <f aca="false">IF('APA Inputs'!$C$25="",0,(IF(AND(BX$4&gt;='APA Inputs'!$C$25,BX$4&lt;EDATE('APA Inputs'!$C$25,N('APA Inputs'!$D$25))),'APA Inputs'!$J$25,0)+IF(N('APA Inputs'!$H$25)&gt;0,IF(BX$4=EDATE('APA Inputs'!$C$25,'APA Inputs'!$H$25-1),N('APA Inputs'!$G$25),0),0))*IF('APA Inputs'!$I$25="",1,'APA Inputs'!$I$25))</f>
        <v>0</v>
      </c>
      <c r="BY10" s="419" t="n">
        <f aca="false">IF('APA Inputs'!$C$25="",0,(IF(AND(BY$4&gt;='APA Inputs'!$C$25,BY$4&lt;EDATE('APA Inputs'!$C$25,N('APA Inputs'!$D$25))),'APA Inputs'!$J$25,0)+IF(N('APA Inputs'!$H$25)&gt;0,IF(BY$4=EDATE('APA Inputs'!$C$25,'APA Inputs'!$H$25-1),N('APA Inputs'!$G$25),0),0))*IF('APA Inputs'!$I$25="",1,'APA Inputs'!$I$25))</f>
        <v>0</v>
      </c>
      <c r="BZ10" s="419" t="n">
        <f aca="false">IF('APA Inputs'!$C$25="",0,(IF(AND(BZ$4&gt;='APA Inputs'!$C$25,BZ$4&lt;EDATE('APA Inputs'!$C$25,N('APA Inputs'!$D$25))),'APA Inputs'!$J$25,0)+IF(N('APA Inputs'!$H$25)&gt;0,IF(BZ$4=EDATE('APA Inputs'!$C$25,'APA Inputs'!$H$25-1),N('APA Inputs'!$G$25),0),0))*IF('APA Inputs'!$I$25="",1,'APA Inputs'!$I$25))</f>
        <v>0</v>
      </c>
      <c r="CA10" s="419" t="n">
        <f aca="false">IF('APA Inputs'!$C$25="",0,(IF(AND(CA$4&gt;='APA Inputs'!$C$25,CA$4&lt;EDATE('APA Inputs'!$C$25,N('APA Inputs'!$D$25))),'APA Inputs'!$J$25,0)+IF(N('APA Inputs'!$H$25)&gt;0,IF(CA$4=EDATE('APA Inputs'!$C$25,'APA Inputs'!$H$25-1),N('APA Inputs'!$G$25),0),0))*IF('APA Inputs'!$I$25="",1,'APA Inputs'!$I$25))</f>
        <v>0</v>
      </c>
      <c r="CB10" s="419" t="n">
        <f aca="false">IF('APA Inputs'!$C$25="",0,(IF(AND(CB$4&gt;='APA Inputs'!$C$25,CB$4&lt;EDATE('APA Inputs'!$C$25,N('APA Inputs'!$D$25))),'APA Inputs'!$J$25,0)+IF(N('APA Inputs'!$H$25)&gt;0,IF(CB$4=EDATE('APA Inputs'!$C$25,'APA Inputs'!$H$25-1),N('APA Inputs'!$G$25),0),0))*IF('APA Inputs'!$I$25="",1,'APA Inputs'!$I$25))</f>
        <v>0</v>
      </c>
      <c r="CC10" s="419" t="n">
        <f aca="false">IF('APA Inputs'!$C$25="",0,(IF(AND(CC$4&gt;='APA Inputs'!$C$25,CC$4&lt;EDATE('APA Inputs'!$C$25,N('APA Inputs'!$D$25))),'APA Inputs'!$J$25,0)+IF(N('APA Inputs'!$H$25)&gt;0,IF(CC$4=EDATE('APA Inputs'!$C$25,'APA Inputs'!$H$25-1),N('APA Inputs'!$G$25),0),0))*IF('APA Inputs'!$I$25="",1,'APA Inputs'!$I$25))</f>
        <v>0</v>
      </c>
      <c r="CD10" s="419" t="n">
        <f aca="false">IF('APA Inputs'!$C$25="",0,(IF(AND(CD$4&gt;='APA Inputs'!$C$25,CD$4&lt;EDATE('APA Inputs'!$C$25,N('APA Inputs'!$D$25))),'APA Inputs'!$J$25,0)+IF(N('APA Inputs'!$H$25)&gt;0,IF(CD$4=EDATE('APA Inputs'!$C$25,'APA Inputs'!$H$25-1),N('APA Inputs'!$G$25),0),0))*IF('APA Inputs'!$I$25="",1,'APA Inputs'!$I$25))</f>
        <v>0</v>
      </c>
      <c r="CE10" s="419" t="n">
        <f aca="false">IF('APA Inputs'!$C$25="",0,(IF(AND(CE$4&gt;='APA Inputs'!$C$25,CE$4&lt;EDATE('APA Inputs'!$C$25,N('APA Inputs'!$D$25))),'APA Inputs'!$J$25,0)+IF(N('APA Inputs'!$H$25)&gt;0,IF(CE$4=EDATE('APA Inputs'!$C$25,'APA Inputs'!$H$25-1),N('APA Inputs'!$G$25),0),0))*IF('APA Inputs'!$I$25="",1,'APA Inputs'!$I$25))</f>
        <v>0</v>
      </c>
      <c r="CF10" s="419" t="n">
        <f aca="false">IF('APA Inputs'!$C$25="",0,(IF(AND(CF$4&gt;='APA Inputs'!$C$25,CF$4&lt;EDATE('APA Inputs'!$C$25,N('APA Inputs'!$D$25))),'APA Inputs'!$J$25,0)+IF(N('APA Inputs'!$H$25)&gt;0,IF(CF$4=EDATE('APA Inputs'!$C$25,'APA Inputs'!$H$25-1),N('APA Inputs'!$G$25),0),0))*IF('APA Inputs'!$I$25="",1,'APA Inputs'!$I$25))</f>
        <v>0</v>
      </c>
      <c r="CG10" s="419" t="n">
        <f aca="false">IF('APA Inputs'!$C$25="",0,(IF(AND(CG$4&gt;='APA Inputs'!$C$25,CG$4&lt;EDATE('APA Inputs'!$C$25,N('APA Inputs'!$D$25))),'APA Inputs'!$J$25,0)+IF(N('APA Inputs'!$H$25)&gt;0,IF(CG$4=EDATE('APA Inputs'!$C$25,'APA Inputs'!$H$25-1),N('APA Inputs'!$G$25),0),0))*IF('APA Inputs'!$I$25="",1,'APA Inputs'!$I$25))</f>
        <v>0</v>
      </c>
      <c r="CH10" s="419" t="n">
        <f aca="false">IF('APA Inputs'!$C$25="",0,(IF(AND(CH$4&gt;='APA Inputs'!$C$25,CH$4&lt;EDATE('APA Inputs'!$C$25,N('APA Inputs'!$D$25))),'APA Inputs'!$J$25,0)+IF(N('APA Inputs'!$H$25)&gt;0,IF(CH$4=EDATE('APA Inputs'!$C$25,'APA Inputs'!$H$25-1),N('APA Inputs'!$G$25),0),0))*IF('APA Inputs'!$I$25="",1,'APA Inputs'!$I$25))</f>
        <v>0</v>
      </c>
      <c r="CI10" s="419" t="n">
        <f aca="false">IF('APA Inputs'!$C$25="",0,(IF(AND(CI$4&gt;='APA Inputs'!$C$25,CI$4&lt;EDATE('APA Inputs'!$C$25,N('APA Inputs'!$D$25))),'APA Inputs'!$J$25,0)+IF(N('APA Inputs'!$H$25)&gt;0,IF(CI$4=EDATE('APA Inputs'!$C$25,'APA Inputs'!$H$25-1),N('APA Inputs'!$G$25),0),0))*IF('APA Inputs'!$I$25="",1,'APA Inputs'!$I$25))</f>
        <v>0</v>
      </c>
      <c r="CJ10" s="419" t="n">
        <f aca="false">IF('APA Inputs'!$C$25="",0,(IF(AND(CJ$4&gt;='APA Inputs'!$C$25,CJ$4&lt;EDATE('APA Inputs'!$C$25,N('APA Inputs'!$D$25))),'APA Inputs'!$J$25,0)+IF(N('APA Inputs'!$H$25)&gt;0,IF(CJ$4=EDATE('APA Inputs'!$C$25,'APA Inputs'!$H$25-1),N('APA Inputs'!$G$25),0),0))*IF('APA Inputs'!$I$25="",1,'APA Inputs'!$I$25))</f>
        <v>0</v>
      </c>
      <c r="CK10" s="419" t="n">
        <f aca="false">IF('APA Inputs'!$C$25="",0,(IF(AND(CK$4&gt;='APA Inputs'!$C$25,CK$4&lt;EDATE('APA Inputs'!$C$25,N('APA Inputs'!$D$25))),'APA Inputs'!$J$25,0)+IF(N('APA Inputs'!$H$25)&gt;0,IF(CK$4=EDATE('APA Inputs'!$C$25,'APA Inputs'!$H$25-1),N('APA Inputs'!$G$25),0),0))*IF('APA Inputs'!$I$25="",1,'APA Inputs'!$I$25))</f>
        <v>0</v>
      </c>
      <c r="CL10" s="419" t="n">
        <f aca="false">IF('APA Inputs'!$C$25="",0,(IF(AND(CL$4&gt;='APA Inputs'!$C$25,CL$4&lt;EDATE('APA Inputs'!$C$25,N('APA Inputs'!$D$25))),'APA Inputs'!$J$25,0)+IF(N('APA Inputs'!$H$25)&gt;0,IF(CL$4=EDATE('APA Inputs'!$C$25,'APA Inputs'!$H$25-1),N('APA Inputs'!$G$25),0),0))*IF('APA Inputs'!$I$25="",1,'APA Inputs'!$I$25))</f>
        <v>0</v>
      </c>
      <c r="CM10" s="419" t="n">
        <f aca="false">IF('APA Inputs'!$C$25="",0,(IF(AND(CM$4&gt;='APA Inputs'!$C$25,CM$4&lt;EDATE('APA Inputs'!$C$25,N('APA Inputs'!$D$25))),'APA Inputs'!$J$25,0)+IF(N('APA Inputs'!$H$25)&gt;0,IF(CM$4=EDATE('APA Inputs'!$C$25,'APA Inputs'!$H$25-1),N('APA Inputs'!$G$25),0),0))*IF('APA Inputs'!$I$25="",1,'APA Inputs'!$I$25))</f>
        <v>0</v>
      </c>
      <c r="CN10" s="419" t="n">
        <f aca="false">IF('APA Inputs'!$C$25="",0,(IF(AND(CN$4&gt;='APA Inputs'!$C$25,CN$4&lt;EDATE('APA Inputs'!$C$25,N('APA Inputs'!$D$25))),'APA Inputs'!$J$25,0)+IF(N('APA Inputs'!$H$25)&gt;0,IF(CN$4=EDATE('APA Inputs'!$C$25,'APA Inputs'!$H$25-1),N('APA Inputs'!$G$25),0),0))*IF('APA Inputs'!$I$25="",1,'APA Inputs'!$I$25))</f>
        <v>0</v>
      </c>
      <c r="CO10" s="419" t="n">
        <f aca="false">IF('APA Inputs'!$C$25="",0,(IF(AND(CO$4&gt;='APA Inputs'!$C$25,CO$4&lt;EDATE('APA Inputs'!$C$25,N('APA Inputs'!$D$25))),'APA Inputs'!$J$25,0)+IF(N('APA Inputs'!$H$25)&gt;0,IF(CO$4=EDATE('APA Inputs'!$C$25,'APA Inputs'!$H$25-1),N('APA Inputs'!$G$25),0),0))*IF('APA Inputs'!$I$25="",1,'APA Inputs'!$I$25))</f>
        <v>0</v>
      </c>
      <c r="CP10" s="419" t="n">
        <f aca="false">IF('APA Inputs'!$C$25="",0,(IF(AND(CP$4&gt;='APA Inputs'!$C$25,CP$4&lt;EDATE('APA Inputs'!$C$25,N('APA Inputs'!$D$25))),'APA Inputs'!$J$25,0)+IF(N('APA Inputs'!$H$25)&gt;0,IF(CP$4=EDATE('APA Inputs'!$C$25,'APA Inputs'!$H$25-1),N('APA Inputs'!$G$25),0),0))*IF('APA Inputs'!$I$25="",1,'APA Inputs'!$I$25))</f>
        <v>0</v>
      </c>
      <c r="CQ10" s="419" t="n">
        <f aca="false">IF('APA Inputs'!$C$25="",0,(IF(AND(CQ$4&gt;='APA Inputs'!$C$25,CQ$4&lt;EDATE('APA Inputs'!$C$25,N('APA Inputs'!$D$25))),'APA Inputs'!$J$25,0)+IF(N('APA Inputs'!$H$25)&gt;0,IF(CQ$4=EDATE('APA Inputs'!$C$25,'APA Inputs'!$H$25-1),N('APA Inputs'!$G$25),0),0))*IF('APA Inputs'!$I$25="",1,'APA Inputs'!$I$25))</f>
        <v>0</v>
      </c>
      <c r="CR10" s="419" t="n">
        <f aca="false">IF('APA Inputs'!$C$25="",0,(IF(AND(CR$4&gt;='APA Inputs'!$C$25,CR$4&lt;EDATE('APA Inputs'!$C$25,N('APA Inputs'!$D$25))),'APA Inputs'!$J$25,0)+IF(N('APA Inputs'!$H$25)&gt;0,IF(CR$4=EDATE('APA Inputs'!$C$25,'APA Inputs'!$H$25-1),N('APA Inputs'!$G$25),0),0))*IF('APA Inputs'!$I$25="",1,'APA Inputs'!$I$25))</f>
        <v>0</v>
      </c>
      <c r="CS10" s="419" t="n">
        <f aca="false">IF('APA Inputs'!$C$25="",0,(IF(AND(CS$4&gt;='APA Inputs'!$C$25,CS$4&lt;EDATE('APA Inputs'!$C$25,N('APA Inputs'!$D$25))),'APA Inputs'!$J$25,0)+IF(N('APA Inputs'!$H$25)&gt;0,IF(CS$4=EDATE('APA Inputs'!$C$25,'APA Inputs'!$H$25-1),N('APA Inputs'!$G$25),0),0))*IF('APA Inputs'!$I$25="",1,'APA Inputs'!$I$25))</f>
        <v>0</v>
      </c>
      <c r="CT10" s="419" t="n">
        <f aca="false">IF('APA Inputs'!$C$25="",0,(IF(AND(CT$4&gt;='APA Inputs'!$C$25,CT$4&lt;EDATE('APA Inputs'!$C$25,N('APA Inputs'!$D$25))),'APA Inputs'!$J$25,0)+IF(N('APA Inputs'!$H$25)&gt;0,IF(CT$4=EDATE('APA Inputs'!$C$25,'APA Inputs'!$H$25-1),N('APA Inputs'!$G$25),0),0))*IF('APA Inputs'!$I$25="",1,'APA Inputs'!$I$25))</f>
        <v>0</v>
      </c>
      <c r="CU10" s="419" t="n">
        <f aca="false">IF('APA Inputs'!$C$25="",0,(IF(AND(CU$4&gt;='APA Inputs'!$C$25,CU$4&lt;EDATE('APA Inputs'!$C$25,N('APA Inputs'!$D$25))),'APA Inputs'!$J$25,0)+IF(N('APA Inputs'!$H$25)&gt;0,IF(CU$4=EDATE('APA Inputs'!$C$25,'APA Inputs'!$H$25-1),N('APA Inputs'!$G$25),0),0))*IF('APA Inputs'!$I$25="",1,'APA Inputs'!$I$25))</f>
        <v>0</v>
      </c>
      <c r="CV10" s="419" t="n">
        <f aca="false">IF('APA Inputs'!$C$25="",0,(IF(AND(CV$4&gt;='APA Inputs'!$C$25,CV$4&lt;EDATE('APA Inputs'!$C$25,N('APA Inputs'!$D$25))),'APA Inputs'!$J$25,0)+IF(N('APA Inputs'!$H$25)&gt;0,IF(CV$4=EDATE('APA Inputs'!$C$25,'APA Inputs'!$H$25-1),N('APA Inputs'!$G$25),0),0))*IF('APA Inputs'!$I$25="",1,'APA Inputs'!$I$25))</f>
        <v>0</v>
      </c>
      <c r="CW10" s="419" t="n">
        <f aca="false">IF('APA Inputs'!$C$25="",0,(IF(AND(CW$4&gt;='APA Inputs'!$C$25,CW$4&lt;EDATE('APA Inputs'!$C$25,N('APA Inputs'!$D$25))),'APA Inputs'!$J$25,0)+IF(N('APA Inputs'!$H$25)&gt;0,IF(CW$4=EDATE('APA Inputs'!$C$25,'APA Inputs'!$H$25-1),N('APA Inputs'!$G$25),0),0))*IF('APA Inputs'!$I$25="",1,'APA Inputs'!$I$25))</f>
        <v>0</v>
      </c>
      <c r="CX10" s="419" t="n">
        <f aca="false">IF('APA Inputs'!$C$25="",0,(IF(AND(CX$4&gt;='APA Inputs'!$C$25,CX$4&lt;EDATE('APA Inputs'!$C$25,N('APA Inputs'!$D$25))),'APA Inputs'!$J$25,0)+IF(N('APA Inputs'!$H$25)&gt;0,IF(CX$4=EDATE('APA Inputs'!$C$25,'APA Inputs'!$H$25-1),N('APA Inputs'!$G$25),0),0))*IF('APA Inputs'!$I$25="",1,'APA Inputs'!$I$25))</f>
        <v>0</v>
      </c>
      <c r="CY10" s="419" t="n">
        <f aca="false">IF('APA Inputs'!$C$25="",0,(IF(AND(CY$4&gt;='APA Inputs'!$C$25,CY$4&lt;EDATE('APA Inputs'!$C$25,N('APA Inputs'!$D$25))),'APA Inputs'!$J$25,0)+IF(N('APA Inputs'!$H$25)&gt;0,IF(CY$4=EDATE('APA Inputs'!$C$25,'APA Inputs'!$H$25-1),N('APA Inputs'!$G$25),0),0))*IF('APA Inputs'!$I$25="",1,'APA Inputs'!$I$25))</f>
        <v>0</v>
      </c>
      <c r="CZ10" s="419" t="n">
        <f aca="false">IF('APA Inputs'!$C$25="",0,(IF(AND(CZ$4&gt;='APA Inputs'!$C$25,CZ$4&lt;EDATE('APA Inputs'!$C$25,N('APA Inputs'!$D$25))),'APA Inputs'!$J$25,0)+IF(N('APA Inputs'!$H$25)&gt;0,IF(CZ$4=EDATE('APA Inputs'!$C$25,'APA Inputs'!$H$25-1),N('APA Inputs'!$G$25),0),0))*IF('APA Inputs'!$I$25="",1,'APA Inputs'!$I$25))</f>
        <v>0</v>
      </c>
      <c r="DA10" s="419" t="n">
        <f aca="false">IF('APA Inputs'!$C$25="",0,(IF(AND(DA$4&gt;='APA Inputs'!$C$25,DA$4&lt;EDATE('APA Inputs'!$C$25,N('APA Inputs'!$D$25))),'APA Inputs'!$J$25,0)+IF(N('APA Inputs'!$H$25)&gt;0,IF(DA$4=EDATE('APA Inputs'!$C$25,'APA Inputs'!$H$25-1),N('APA Inputs'!$G$25),0),0))*IF('APA Inputs'!$I$25="",1,'APA Inputs'!$I$25))</f>
        <v>0</v>
      </c>
      <c r="DB10" s="419" t="n">
        <f aca="false">IF('APA Inputs'!$C$25="",0,(IF(AND(DB$4&gt;='APA Inputs'!$C$25,DB$4&lt;EDATE('APA Inputs'!$C$25,N('APA Inputs'!$D$25))),'APA Inputs'!$J$25,0)+IF(N('APA Inputs'!$H$25)&gt;0,IF(DB$4=EDATE('APA Inputs'!$C$25,'APA Inputs'!$H$25-1),N('APA Inputs'!$G$25),0),0))*IF('APA Inputs'!$I$25="",1,'APA Inputs'!$I$25))</f>
        <v>0</v>
      </c>
      <c r="DC10" s="419" t="n">
        <f aca="false">IF('APA Inputs'!$C$25="",0,(IF(AND(DC$4&gt;='APA Inputs'!$C$25,DC$4&lt;EDATE('APA Inputs'!$C$25,N('APA Inputs'!$D$25))),'APA Inputs'!$J$25,0)+IF(N('APA Inputs'!$H$25)&gt;0,IF(DC$4=EDATE('APA Inputs'!$C$25,'APA Inputs'!$H$25-1),N('APA Inputs'!$G$25),0),0))*IF('APA Inputs'!$I$25="",1,'APA Inputs'!$I$25))</f>
        <v>0</v>
      </c>
      <c r="DD10" s="419" t="n">
        <f aca="false">IF('APA Inputs'!$C$25="",0,(IF(AND(DD$4&gt;='APA Inputs'!$C$25,DD$4&lt;EDATE('APA Inputs'!$C$25,N('APA Inputs'!$D$25))),'APA Inputs'!$J$25,0)+IF(N('APA Inputs'!$H$25)&gt;0,IF(DD$4=EDATE('APA Inputs'!$C$25,'APA Inputs'!$H$25-1),N('APA Inputs'!$G$25),0),0))*IF('APA Inputs'!$I$25="",1,'APA Inputs'!$I$25))</f>
        <v>0</v>
      </c>
      <c r="DE10" s="419"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19" t="n">
        <f aca="false">IF('APA Inputs'!$C$26="",0,(IF(AND(B$4&gt;='APA Inputs'!$C$26,B$4&lt;EDATE('APA Inputs'!$C$26,N('APA Inputs'!$D$26))),'APA Inputs'!$J$26,0)+IF(N('APA Inputs'!$H$26)&gt;0,IF(B$4=EDATE('APA Inputs'!$C$26,'APA Inputs'!$H$26-1),N('APA Inputs'!$G$26),0),0))*IF('APA Inputs'!$I$26="",1,'APA Inputs'!$I$26))</f>
        <v>0</v>
      </c>
      <c r="C11" s="419" t="n">
        <f aca="false">IF('APA Inputs'!$C$26="",0,(IF(AND(C$4&gt;='APA Inputs'!$C$26,C$4&lt;EDATE('APA Inputs'!$C$26,N('APA Inputs'!$D$26))),'APA Inputs'!$J$26,0)+IF(N('APA Inputs'!$H$26)&gt;0,IF(C$4=EDATE('APA Inputs'!$C$26,'APA Inputs'!$H$26-1),N('APA Inputs'!$G$26),0),0))*IF('APA Inputs'!$I$26="",1,'APA Inputs'!$I$26))</f>
        <v>0</v>
      </c>
      <c r="D11" s="419" t="n">
        <f aca="false">IF('APA Inputs'!$C$26="",0,(IF(AND(D$4&gt;='APA Inputs'!$C$26,D$4&lt;EDATE('APA Inputs'!$C$26,N('APA Inputs'!$D$26))),'APA Inputs'!$J$26,0)+IF(N('APA Inputs'!$H$26)&gt;0,IF(D$4=EDATE('APA Inputs'!$C$26,'APA Inputs'!$H$26-1),N('APA Inputs'!$G$26),0),0))*IF('APA Inputs'!$I$26="",1,'APA Inputs'!$I$26))</f>
        <v>0</v>
      </c>
      <c r="E11" s="419" t="n">
        <f aca="false">IF('APA Inputs'!$C$26="",0,(IF(AND(E$4&gt;='APA Inputs'!$C$26,E$4&lt;EDATE('APA Inputs'!$C$26,N('APA Inputs'!$D$26))),'APA Inputs'!$J$26,0)+IF(N('APA Inputs'!$H$26)&gt;0,IF(E$4=EDATE('APA Inputs'!$C$26,'APA Inputs'!$H$26-1),N('APA Inputs'!$G$26),0),0))*IF('APA Inputs'!$I$26="",1,'APA Inputs'!$I$26))</f>
        <v>0</v>
      </c>
      <c r="F11" s="419" t="n">
        <f aca="false">IF('APA Inputs'!$C$26="",0,(IF(AND(F$4&gt;='APA Inputs'!$C$26,F$4&lt;EDATE('APA Inputs'!$C$26,N('APA Inputs'!$D$26))),'APA Inputs'!$J$26,0)+IF(N('APA Inputs'!$H$26)&gt;0,IF(F$4=EDATE('APA Inputs'!$C$26,'APA Inputs'!$H$26-1),N('APA Inputs'!$G$26),0),0))*IF('APA Inputs'!$I$26="",1,'APA Inputs'!$I$26))</f>
        <v>0</v>
      </c>
      <c r="G11" s="419" t="n">
        <f aca="false">IF('APA Inputs'!$C$26="",0,(IF(AND(G$4&gt;='APA Inputs'!$C$26,G$4&lt;EDATE('APA Inputs'!$C$26,N('APA Inputs'!$D$26))),'APA Inputs'!$J$26,0)+IF(N('APA Inputs'!$H$26)&gt;0,IF(G$4=EDATE('APA Inputs'!$C$26,'APA Inputs'!$H$26-1),N('APA Inputs'!$G$26),0),0))*IF('APA Inputs'!$I$26="",1,'APA Inputs'!$I$26))</f>
        <v>0</v>
      </c>
      <c r="H11" s="419" t="n">
        <f aca="false">IF('APA Inputs'!$C$26="",0,(IF(AND(H$4&gt;='APA Inputs'!$C$26,H$4&lt;EDATE('APA Inputs'!$C$26,N('APA Inputs'!$D$26))),'APA Inputs'!$J$26,0)+IF(N('APA Inputs'!$H$26)&gt;0,IF(H$4=EDATE('APA Inputs'!$C$26,'APA Inputs'!$H$26-1),N('APA Inputs'!$G$26),0),0))*IF('APA Inputs'!$I$26="",1,'APA Inputs'!$I$26))</f>
        <v>0</v>
      </c>
      <c r="I11" s="419" t="n">
        <f aca="false">IF('APA Inputs'!$C$26="",0,(IF(AND(I$4&gt;='APA Inputs'!$C$26,I$4&lt;EDATE('APA Inputs'!$C$26,N('APA Inputs'!$D$26))),'APA Inputs'!$J$26,0)+IF(N('APA Inputs'!$H$26)&gt;0,IF(I$4=EDATE('APA Inputs'!$C$26,'APA Inputs'!$H$26-1),N('APA Inputs'!$G$26),0),0))*IF('APA Inputs'!$I$26="",1,'APA Inputs'!$I$26))</f>
        <v>0</v>
      </c>
      <c r="J11" s="419" t="n">
        <f aca="false">IF('APA Inputs'!$C$26="",0,(IF(AND(J$4&gt;='APA Inputs'!$C$26,J$4&lt;EDATE('APA Inputs'!$C$26,N('APA Inputs'!$D$26))),'APA Inputs'!$J$26,0)+IF(N('APA Inputs'!$H$26)&gt;0,IF(J$4=EDATE('APA Inputs'!$C$26,'APA Inputs'!$H$26-1),N('APA Inputs'!$G$26),0),0))*IF('APA Inputs'!$I$26="",1,'APA Inputs'!$I$26))</f>
        <v>0</v>
      </c>
      <c r="K11" s="419" t="n">
        <f aca="false">IF('APA Inputs'!$C$26="",0,(IF(AND(K$4&gt;='APA Inputs'!$C$26,K$4&lt;EDATE('APA Inputs'!$C$26,N('APA Inputs'!$D$26))),'APA Inputs'!$J$26,0)+IF(N('APA Inputs'!$H$26)&gt;0,IF(K$4=EDATE('APA Inputs'!$C$26,'APA Inputs'!$H$26-1),N('APA Inputs'!$G$26),0),0))*IF('APA Inputs'!$I$26="",1,'APA Inputs'!$I$26))</f>
        <v>0</v>
      </c>
      <c r="L11" s="419" t="n">
        <f aca="false">IF('APA Inputs'!$C$26="",0,(IF(AND(L$4&gt;='APA Inputs'!$C$26,L$4&lt;EDATE('APA Inputs'!$C$26,N('APA Inputs'!$D$26))),'APA Inputs'!$J$26,0)+IF(N('APA Inputs'!$H$26)&gt;0,IF(L$4=EDATE('APA Inputs'!$C$26,'APA Inputs'!$H$26-1),N('APA Inputs'!$G$26),0),0))*IF('APA Inputs'!$I$26="",1,'APA Inputs'!$I$26))</f>
        <v>0</v>
      </c>
      <c r="M11" s="419" t="n">
        <f aca="false">IF('APA Inputs'!$C$26="",0,(IF(AND(M$4&gt;='APA Inputs'!$C$26,M$4&lt;EDATE('APA Inputs'!$C$26,N('APA Inputs'!$D$26))),'APA Inputs'!$J$26,0)+IF(N('APA Inputs'!$H$26)&gt;0,IF(M$4=EDATE('APA Inputs'!$C$26,'APA Inputs'!$H$26-1),N('APA Inputs'!$G$26),0),0))*IF('APA Inputs'!$I$26="",1,'APA Inputs'!$I$26))</f>
        <v>0</v>
      </c>
      <c r="N11" s="419" t="n">
        <f aca="false">IF('APA Inputs'!$C$26="",0,(IF(AND(N$4&gt;='APA Inputs'!$C$26,N$4&lt;EDATE('APA Inputs'!$C$26,N('APA Inputs'!$D$26))),'APA Inputs'!$J$26,0)+IF(N('APA Inputs'!$H$26)&gt;0,IF(N$4=EDATE('APA Inputs'!$C$26,'APA Inputs'!$H$26-1),N('APA Inputs'!$G$26),0),0))*IF('APA Inputs'!$I$26="",1,'APA Inputs'!$I$26))</f>
        <v>0</v>
      </c>
      <c r="O11" s="419" t="n">
        <f aca="false">IF('APA Inputs'!$C$26="",0,(IF(AND(O$4&gt;='APA Inputs'!$C$26,O$4&lt;EDATE('APA Inputs'!$C$26,N('APA Inputs'!$D$26))),'APA Inputs'!$J$26,0)+IF(N('APA Inputs'!$H$26)&gt;0,IF(O$4=EDATE('APA Inputs'!$C$26,'APA Inputs'!$H$26-1),N('APA Inputs'!$G$26),0),0))*IF('APA Inputs'!$I$26="",1,'APA Inputs'!$I$26))</f>
        <v>0</v>
      </c>
      <c r="P11" s="419" t="n">
        <f aca="false">IF('APA Inputs'!$C$26="",0,(IF(AND(P$4&gt;='APA Inputs'!$C$26,P$4&lt;EDATE('APA Inputs'!$C$26,N('APA Inputs'!$D$26))),'APA Inputs'!$J$26,0)+IF(N('APA Inputs'!$H$26)&gt;0,IF(P$4=EDATE('APA Inputs'!$C$26,'APA Inputs'!$H$26-1),N('APA Inputs'!$G$26),0),0))*IF('APA Inputs'!$I$26="",1,'APA Inputs'!$I$26))</f>
        <v>0</v>
      </c>
      <c r="Q11" s="419" t="n">
        <f aca="false">IF('APA Inputs'!$C$26="",0,(IF(AND(Q$4&gt;='APA Inputs'!$C$26,Q$4&lt;EDATE('APA Inputs'!$C$26,N('APA Inputs'!$D$26))),'APA Inputs'!$J$26,0)+IF(N('APA Inputs'!$H$26)&gt;0,IF(Q$4=EDATE('APA Inputs'!$C$26,'APA Inputs'!$H$26-1),N('APA Inputs'!$G$26),0),0))*IF('APA Inputs'!$I$26="",1,'APA Inputs'!$I$26))</f>
        <v>0</v>
      </c>
      <c r="R11" s="419" t="n">
        <f aca="false">IF('APA Inputs'!$C$26="",0,(IF(AND(R$4&gt;='APA Inputs'!$C$26,R$4&lt;EDATE('APA Inputs'!$C$26,N('APA Inputs'!$D$26))),'APA Inputs'!$J$26,0)+IF(N('APA Inputs'!$H$26)&gt;0,IF(R$4=EDATE('APA Inputs'!$C$26,'APA Inputs'!$H$26-1),N('APA Inputs'!$G$26),0),0))*IF('APA Inputs'!$I$26="",1,'APA Inputs'!$I$26))</f>
        <v>0</v>
      </c>
      <c r="S11" s="419" t="n">
        <f aca="false">IF('APA Inputs'!$C$26="",0,(IF(AND(S$4&gt;='APA Inputs'!$C$26,S$4&lt;EDATE('APA Inputs'!$C$26,N('APA Inputs'!$D$26))),'APA Inputs'!$J$26,0)+IF(N('APA Inputs'!$H$26)&gt;0,IF(S$4=EDATE('APA Inputs'!$C$26,'APA Inputs'!$H$26-1),N('APA Inputs'!$G$26),0),0))*IF('APA Inputs'!$I$26="",1,'APA Inputs'!$I$26))</f>
        <v>4166</v>
      </c>
      <c r="T11" s="419" t="n">
        <f aca="false">IF('APA Inputs'!$C$26="",0,(IF(AND(T$4&gt;='APA Inputs'!$C$26,T$4&lt;EDATE('APA Inputs'!$C$26,N('APA Inputs'!$D$26))),'APA Inputs'!$J$26,0)+IF(N('APA Inputs'!$H$26)&gt;0,IF(T$4=EDATE('APA Inputs'!$C$26,'APA Inputs'!$H$26-1),N('APA Inputs'!$G$26),0),0))*IF('APA Inputs'!$I$26="",1,'APA Inputs'!$I$26))</f>
        <v>4166</v>
      </c>
      <c r="U11" s="419" t="n">
        <f aca="false">IF('APA Inputs'!$C$26="",0,(IF(AND(U$4&gt;='APA Inputs'!$C$26,U$4&lt;EDATE('APA Inputs'!$C$26,N('APA Inputs'!$D$26))),'APA Inputs'!$J$26,0)+IF(N('APA Inputs'!$H$26)&gt;0,IF(U$4=EDATE('APA Inputs'!$C$26,'APA Inputs'!$H$26-1),N('APA Inputs'!$G$26),0),0))*IF('APA Inputs'!$I$26="",1,'APA Inputs'!$I$26))</f>
        <v>4166</v>
      </c>
      <c r="V11" s="419" t="n">
        <f aca="false">IF('APA Inputs'!$C$26="",0,(IF(AND(V$4&gt;='APA Inputs'!$C$26,V$4&lt;EDATE('APA Inputs'!$C$26,N('APA Inputs'!$D$26))),'APA Inputs'!$J$26,0)+IF(N('APA Inputs'!$H$26)&gt;0,IF(V$4=EDATE('APA Inputs'!$C$26,'APA Inputs'!$H$26-1),N('APA Inputs'!$G$26),0),0))*IF('APA Inputs'!$I$26="",1,'APA Inputs'!$I$26))</f>
        <v>4166</v>
      </c>
      <c r="W11" s="419" t="n">
        <f aca="false">IF('APA Inputs'!$C$26="",0,(IF(AND(W$4&gt;='APA Inputs'!$C$26,W$4&lt;EDATE('APA Inputs'!$C$26,N('APA Inputs'!$D$26))),'APA Inputs'!$J$26,0)+IF(N('APA Inputs'!$H$26)&gt;0,IF(W$4=EDATE('APA Inputs'!$C$26,'APA Inputs'!$H$26-1),N('APA Inputs'!$G$26),0),0))*IF('APA Inputs'!$I$26="",1,'APA Inputs'!$I$26))</f>
        <v>4166</v>
      </c>
      <c r="X11" s="419" t="n">
        <f aca="false">IF('APA Inputs'!$C$26="",0,(IF(AND(X$4&gt;='APA Inputs'!$C$26,X$4&lt;EDATE('APA Inputs'!$C$26,N('APA Inputs'!$D$26))),'APA Inputs'!$J$26,0)+IF(N('APA Inputs'!$H$26)&gt;0,IF(X$4=EDATE('APA Inputs'!$C$26,'APA Inputs'!$H$26-1),N('APA Inputs'!$G$26),0),0))*IF('APA Inputs'!$I$26="",1,'APA Inputs'!$I$26))</f>
        <v>4166</v>
      </c>
      <c r="Y11" s="419" t="n">
        <f aca="false">IF('APA Inputs'!$C$26="",0,(IF(AND(Y$4&gt;='APA Inputs'!$C$26,Y$4&lt;EDATE('APA Inputs'!$C$26,N('APA Inputs'!$D$26))),'APA Inputs'!$J$26,0)+IF(N('APA Inputs'!$H$26)&gt;0,IF(Y$4=EDATE('APA Inputs'!$C$26,'APA Inputs'!$H$26-1),N('APA Inputs'!$G$26),0),0))*IF('APA Inputs'!$I$26="",1,'APA Inputs'!$I$26))</f>
        <v>4166</v>
      </c>
      <c r="Z11" s="419" t="n">
        <f aca="false">IF('APA Inputs'!$C$26="",0,(IF(AND(Z$4&gt;='APA Inputs'!$C$26,Z$4&lt;EDATE('APA Inputs'!$C$26,N('APA Inputs'!$D$26))),'APA Inputs'!$J$26,0)+IF(N('APA Inputs'!$H$26)&gt;0,IF(Z$4=EDATE('APA Inputs'!$C$26,'APA Inputs'!$H$26-1),N('APA Inputs'!$G$26),0),0))*IF('APA Inputs'!$I$26="",1,'APA Inputs'!$I$26))</f>
        <v>4166</v>
      </c>
      <c r="AA11" s="419" t="n">
        <f aca="false">IF('APA Inputs'!$C$26="",0,(IF(AND(AA$4&gt;='APA Inputs'!$C$26,AA$4&lt;EDATE('APA Inputs'!$C$26,N('APA Inputs'!$D$26))),'APA Inputs'!$J$26,0)+IF(N('APA Inputs'!$H$26)&gt;0,IF(AA$4=EDATE('APA Inputs'!$C$26,'APA Inputs'!$H$26-1),N('APA Inputs'!$G$26),0),0))*IF('APA Inputs'!$I$26="",1,'APA Inputs'!$I$26))</f>
        <v>4166</v>
      </c>
      <c r="AB11" s="419" t="n">
        <f aca="false">IF('APA Inputs'!$C$26="",0,(IF(AND(AB$4&gt;='APA Inputs'!$C$26,AB$4&lt;EDATE('APA Inputs'!$C$26,N('APA Inputs'!$D$26))),'APA Inputs'!$J$26,0)+IF(N('APA Inputs'!$H$26)&gt;0,IF(AB$4=EDATE('APA Inputs'!$C$26,'APA Inputs'!$H$26-1),N('APA Inputs'!$G$26),0),0))*IF('APA Inputs'!$I$26="",1,'APA Inputs'!$I$26))</f>
        <v>4166</v>
      </c>
      <c r="AC11" s="419" t="n">
        <f aca="false">IF('APA Inputs'!$C$26="",0,(IF(AND(AC$4&gt;='APA Inputs'!$C$26,AC$4&lt;EDATE('APA Inputs'!$C$26,N('APA Inputs'!$D$26))),'APA Inputs'!$J$26,0)+IF(N('APA Inputs'!$H$26)&gt;0,IF(AC$4=EDATE('APA Inputs'!$C$26,'APA Inputs'!$H$26-1),N('APA Inputs'!$G$26),0),0))*IF('APA Inputs'!$I$26="",1,'APA Inputs'!$I$26))</f>
        <v>4166</v>
      </c>
      <c r="AD11" s="419" t="n">
        <f aca="false">IF('APA Inputs'!$C$26="",0,(IF(AND(AD$4&gt;='APA Inputs'!$C$26,AD$4&lt;EDATE('APA Inputs'!$C$26,N('APA Inputs'!$D$26))),'APA Inputs'!$J$26,0)+IF(N('APA Inputs'!$H$26)&gt;0,IF(AD$4=EDATE('APA Inputs'!$C$26,'APA Inputs'!$H$26-1),N('APA Inputs'!$G$26),0),0))*IF('APA Inputs'!$I$26="",1,'APA Inputs'!$I$26))</f>
        <v>4166</v>
      </c>
      <c r="AE11" s="419" t="n">
        <f aca="false">IF('APA Inputs'!$C$26="",0,(IF(AND(AE$4&gt;='APA Inputs'!$C$26,AE$4&lt;EDATE('APA Inputs'!$C$26,N('APA Inputs'!$D$26))),'APA Inputs'!$J$26,0)+IF(N('APA Inputs'!$H$26)&gt;0,IF(AE$4=EDATE('APA Inputs'!$C$26,'APA Inputs'!$H$26-1),N('APA Inputs'!$G$26),0),0))*IF('APA Inputs'!$I$26="",1,'APA Inputs'!$I$26))</f>
        <v>4166</v>
      </c>
      <c r="AF11" s="419" t="n">
        <f aca="false">IF('APA Inputs'!$C$26="",0,(IF(AND(AF$4&gt;='APA Inputs'!$C$26,AF$4&lt;EDATE('APA Inputs'!$C$26,N('APA Inputs'!$D$26))),'APA Inputs'!$J$26,0)+IF(N('APA Inputs'!$H$26)&gt;0,IF(AF$4=EDATE('APA Inputs'!$C$26,'APA Inputs'!$H$26-1),N('APA Inputs'!$G$26),0),0))*IF('APA Inputs'!$I$26="",1,'APA Inputs'!$I$26))</f>
        <v>0</v>
      </c>
      <c r="AG11" s="419" t="n">
        <f aca="false">IF('APA Inputs'!$C$26="",0,(IF(AND(AG$4&gt;='APA Inputs'!$C$26,AG$4&lt;EDATE('APA Inputs'!$C$26,N('APA Inputs'!$D$26))),'APA Inputs'!$J$26,0)+IF(N('APA Inputs'!$H$26)&gt;0,IF(AG$4=EDATE('APA Inputs'!$C$26,'APA Inputs'!$H$26-1),N('APA Inputs'!$G$26),0),0))*IF('APA Inputs'!$I$26="",1,'APA Inputs'!$I$26))</f>
        <v>0</v>
      </c>
      <c r="AH11" s="419" t="n">
        <f aca="false">IF('APA Inputs'!$C$26="",0,(IF(AND(AH$4&gt;='APA Inputs'!$C$26,AH$4&lt;EDATE('APA Inputs'!$C$26,N('APA Inputs'!$D$26))),'APA Inputs'!$J$26,0)+IF(N('APA Inputs'!$H$26)&gt;0,IF(AH$4=EDATE('APA Inputs'!$C$26,'APA Inputs'!$H$26-1),N('APA Inputs'!$G$26),0),0))*IF('APA Inputs'!$I$26="",1,'APA Inputs'!$I$26))</f>
        <v>0</v>
      </c>
      <c r="AI11" s="419" t="n">
        <f aca="false">IF('APA Inputs'!$C$26="",0,(IF(AND(AI$4&gt;='APA Inputs'!$C$26,AI$4&lt;EDATE('APA Inputs'!$C$26,N('APA Inputs'!$D$26))),'APA Inputs'!$J$26,0)+IF(N('APA Inputs'!$H$26)&gt;0,IF(AI$4=EDATE('APA Inputs'!$C$26,'APA Inputs'!$H$26-1),N('APA Inputs'!$G$26),0),0))*IF('APA Inputs'!$I$26="",1,'APA Inputs'!$I$26))</f>
        <v>0</v>
      </c>
      <c r="AJ11" s="419" t="n">
        <f aca="false">IF('APA Inputs'!$C$26="",0,(IF(AND(AJ$4&gt;='APA Inputs'!$C$26,AJ$4&lt;EDATE('APA Inputs'!$C$26,N('APA Inputs'!$D$26))),'APA Inputs'!$J$26,0)+IF(N('APA Inputs'!$H$26)&gt;0,IF(AJ$4=EDATE('APA Inputs'!$C$26,'APA Inputs'!$H$26-1),N('APA Inputs'!$G$26),0),0))*IF('APA Inputs'!$I$26="",1,'APA Inputs'!$I$26))</f>
        <v>0</v>
      </c>
      <c r="AK11" s="419" t="n">
        <f aca="false">IF('APA Inputs'!$C$26="",0,(IF(AND(AK$4&gt;='APA Inputs'!$C$26,AK$4&lt;EDATE('APA Inputs'!$C$26,N('APA Inputs'!$D$26))),'APA Inputs'!$J$26,0)+IF(N('APA Inputs'!$H$26)&gt;0,IF(AK$4=EDATE('APA Inputs'!$C$26,'APA Inputs'!$H$26-1),N('APA Inputs'!$G$26),0),0))*IF('APA Inputs'!$I$26="",1,'APA Inputs'!$I$26))</f>
        <v>0</v>
      </c>
      <c r="AL11" s="419" t="n">
        <f aca="false">IF('APA Inputs'!$C$26="",0,(IF(AND(AL$4&gt;='APA Inputs'!$C$26,AL$4&lt;EDATE('APA Inputs'!$C$26,N('APA Inputs'!$D$26))),'APA Inputs'!$J$26,0)+IF(N('APA Inputs'!$H$26)&gt;0,IF(AL$4=EDATE('APA Inputs'!$C$26,'APA Inputs'!$H$26-1),N('APA Inputs'!$G$26),0),0))*IF('APA Inputs'!$I$26="",1,'APA Inputs'!$I$26))</f>
        <v>0</v>
      </c>
      <c r="AM11" s="419" t="n">
        <f aca="false">IF('APA Inputs'!$C$26="",0,(IF(AND(AM$4&gt;='APA Inputs'!$C$26,AM$4&lt;EDATE('APA Inputs'!$C$26,N('APA Inputs'!$D$26))),'APA Inputs'!$J$26,0)+IF(N('APA Inputs'!$H$26)&gt;0,IF(AM$4=EDATE('APA Inputs'!$C$26,'APA Inputs'!$H$26-1),N('APA Inputs'!$G$26),0),0))*IF('APA Inputs'!$I$26="",1,'APA Inputs'!$I$26))</f>
        <v>0</v>
      </c>
      <c r="AN11" s="419" t="n">
        <f aca="false">IF('APA Inputs'!$C$26="",0,(IF(AND(AN$4&gt;='APA Inputs'!$C$26,AN$4&lt;EDATE('APA Inputs'!$C$26,N('APA Inputs'!$D$26))),'APA Inputs'!$J$26,0)+IF(N('APA Inputs'!$H$26)&gt;0,IF(AN$4=EDATE('APA Inputs'!$C$26,'APA Inputs'!$H$26-1),N('APA Inputs'!$G$26),0),0))*IF('APA Inputs'!$I$26="",1,'APA Inputs'!$I$26))</f>
        <v>0</v>
      </c>
      <c r="AO11" s="419" t="n">
        <f aca="false">IF('APA Inputs'!$C$26="",0,(IF(AND(AO$4&gt;='APA Inputs'!$C$26,AO$4&lt;EDATE('APA Inputs'!$C$26,N('APA Inputs'!$D$26))),'APA Inputs'!$J$26,0)+IF(N('APA Inputs'!$H$26)&gt;0,IF(AO$4=EDATE('APA Inputs'!$C$26,'APA Inputs'!$H$26-1),N('APA Inputs'!$G$26),0),0))*IF('APA Inputs'!$I$26="",1,'APA Inputs'!$I$26))</f>
        <v>0</v>
      </c>
      <c r="AP11" s="419" t="n">
        <f aca="false">IF('APA Inputs'!$C$26="",0,(IF(AND(AP$4&gt;='APA Inputs'!$C$26,AP$4&lt;EDATE('APA Inputs'!$C$26,N('APA Inputs'!$D$26))),'APA Inputs'!$J$26,0)+IF(N('APA Inputs'!$H$26)&gt;0,IF(AP$4=EDATE('APA Inputs'!$C$26,'APA Inputs'!$H$26-1),N('APA Inputs'!$G$26),0),0))*IF('APA Inputs'!$I$26="",1,'APA Inputs'!$I$26))</f>
        <v>0</v>
      </c>
      <c r="AQ11" s="419" t="n">
        <f aca="false">IF('APA Inputs'!$C$26="",0,(IF(AND(AQ$4&gt;='APA Inputs'!$C$26,AQ$4&lt;EDATE('APA Inputs'!$C$26,N('APA Inputs'!$D$26))),'APA Inputs'!$J$26,0)+IF(N('APA Inputs'!$H$26)&gt;0,IF(AQ$4=EDATE('APA Inputs'!$C$26,'APA Inputs'!$H$26-1),N('APA Inputs'!$G$26),0),0))*IF('APA Inputs'!$I$26="",1,'APA Inputs'!$I$26))</f>
        <v>0</v>
      </c>
      <c r="AR11" s="419" t="n">
        <f aca="false">IF('APA Inputs'!$C$26="",0,(IF(AND(AR$4&gt;='APA Inputs'!$C$26,AR$4&lt;EDATE('APA Inputs'!$C$26,N('APA Inputs'!$D$26))),'APA Inputs'!$J$26,0)+IF(N('APA Inputs'!$H$26)&gt;0,IF(AR$4=EDATE('APA Inputs'!$C$26,'APA Inputs'!$H$26-1),N('APA Inputs'!$G$26),0),0))*IF('APA Inputs'!$I$26="",1,'APA Inputs'!$I$26))</f>
        <v>0</v>
      </c>
      <c r="AS11" s="419" t="n">
        <f aca="false">IF('APA Inputs'!$C$26="",0,(IF(AND(AS$4&gt;='APA Inputs'!$C$26,AS$4&lt;EDATE('APA Inputs'!$C$26,N('APA Inputs'!$D$26))),'APA Inputs'!$J$26,0)+IF(N('APA Inputs'!$H$26)&gt;0,IF(AS$4=EDATE('APA Inputs'!$C$26,'APA Inputs'!$H$26-1),N('APA Inputs'!$G$26),0),0))*IF('APA Inputs'!$I$26="",1,'APA Inputs'!$I$26))</f>
        <v>0</v>
      </c>
      <c r="AT11" s="419" t="n">
        <f aca="false">IF('APA Inputs'!$C$26="",0,(IF(AND(AT$4&gt;='APA Inputs'!$C$26,AT$4&lt;EDATE('APA Inputs'!$C$26,N('APA Inputs'!$D$26))),'APA Inputs'!$J$26,0)+IF(N('APA Inputs'!$H$26)&gt;0,IF(AT$4=EDATE('APA Inputs'!$C$26,'APA Inputs'!$H$26-1),N('APA Inputs'!$G$26),0),0))*IF('APA Inputs'!$I$26="",1,'APA Inputs'!$I$26))</f>
        <v>0</v>
      </c>
      <c r="AU11" s="419" t="n">
        <f aca="false">IF('APA Inputs'!$C$26="",0,(IF(AND(AU$4&gt;='APA Inputs'!$C$26,AU$4&lt;EDATE('APA Inputs'!$C$26,N('APA Inputs'!$D$26))),'APA Inputs'!$J$26,0)+IF(N('APA Inputs'!$H$26)&gt;0,IF(AU$4=EDATE('APA Inputs'!$C$26,'APA Inputs'!$H$26-1),N('APA Inputs'!$G$26),0),0))*IF('APA Inputs'!$I$26="",1,'APA Inputs'!$I$26))</f>
        <v>0</v>
      </c>
      <c r="AV11" s="419" t="n">
        <f aca="false">IF('APA Inputs'!$C$26="",0,(IF(AND(AV$4&gt;='APA Inputs'!$C$26,AV$4&lt;EDATE('APA Inputs'!$C$26,N('APA Inputs'!$D$26))),'APA Inputs'!$J$26,0)+IF(N('APA Inputs'!$H$26)&gt;0,IF(AV$4=EDATE('APA Inputs'!$C$26,'APA Inputs'!$H$26-1),N('APA Inputs'!$G$26),0),0))*IF('APA Inputs'!$I$26="",1,'APA Inputs'!$I$26))</f>
        <v>0</v>
      </c>
      <c r="AW11" s="419" t="n">
        <f aca="false">IF('APA Inputs'!$C$26="",0,(IF(AND(AW$4&gt;='APA Inputs'!$C$26,AW$4&lt;EDATE('APA Inputs'!$C$26,N('APA Inputs'!$D$26))),'APA Inputs'!$J$26,0)+IF(N('APA Inputs'!$H$26)&gt;0,IF(AW$4=EDATE('APA Inputs'!$C$26,'APA Inputs'!$H$26-1),N('APA Inputs'!$G$26),0),0))*IF('APA Inputs'!$I$26="",1,'APA Inputs'!$I$26))</f>
        <v>0</v>
      </c>
      <c r="AX11" s="419" t="n">
        <f aca="false">IF('APA Inputs'!$C$26="",0,(IF(AND(AX$4&gt;='APA Inputs'!$C$26,AX$4&lt;EDATE('APA Inputs'!$C$26,N('APA Inputs'!$D$26))),'APA Inputs'!$J$26,0)+IF(N('APA Inputs'!$H$26)&gt;0,IF(AX$4=EDATE('APA Inputs'!$C$26,'APA Inputs'!$H$26-1),N('APA Inputs'!$G$26),0),0))*IF('APA Inputs'!$I$26="",1,'APA Inputs'!$I$26))</f>
        <v>0</v>
      </c>
      <c r="AY11" s="419" t="n">
        <f aca="false">IF('APA Inputs'!$C$26="",0,(IF(AND(AY$4&gt;='APA Inputs'!$C$26,AY$4&lt;EDATE('APA Inputs'!$C$26,N('APA Inputs'!$D$26))),'APA Inputs'!$J$26,0)+IF(N('APA Inputs'!$H$26)&gt;0,IF(AY$4=EDATE('APA Inputs'!$C$26,'APA Inputs'!$H$26-1),N('APA Inputs'!$G$26),0),0))*IF('APA Inputs'!$I$26="",1,'APA Inputs'!$I$26))</f>
        <v>0</v>
      </c>
      <c r="AZ11" s="419" t="n">
        <f aca="false">IF('APA Inputs'!$C$26="",0,(IF(AND(AZ$4&gt;='APA Inputs'!$C$26,AZ$4&lt;EDATE('APA Inputs'!$C$26,N('APA Inputs'!$D$26))),'APA Inputs'!$J$26,0)+IF(N('APA Inputs'!$H$26)&gt;0,IF(AZ$4=EDATE('APA Inputs'!$C$26,'APA Inputs'!$H$26-1),N('APA Inputs'!$G$26),0),0))*IF('APA Inputs'!$I$26="",1,'APA Inputs'!$I$26))</f>
        <v>0</v>
      </c>
      <c r="BA11" s="419" t="n">
        <f aca="false">IF('APA Inputs'!$C$26="",0,(IF(AND(BA$4&gt;='APA Inputs'!$C$26,BA$4&lt;EDATE('APA Inputs'!$C$26,N('APA Inputs'!$D$26))),'APA Inputs'!$J$26,0)+IF(N('APA Inputs'!$H$26)&gt;0,IF(BA$4=EDATE('APA Inputs'!$C$26,'APA Inputs'!$H$26-1),N('APA Inputs'!$G$26),0),0))*IF('APA Inputs'!$I$26="",1,'APA Inputs'!$I$26))</f>
        <v>0</v>
      </c>
      <c r="BB11" s="419" t="n">
        <f aca="false">IF('APA Inputs'!$C$26="",0,(IF(AND(BB$4&gt;='APA Inputs'!$C$26,BB$4&lt;EDATE('APA Inputs'!$C$26,N('APA Inputs'!$D$26))),'APA Inputs'!$J$26,0)+IF(N('APA Inputs'!$H$26)&gt;0,IF(BB$4=EDATE('APA Inputs'!$C$26,'APA Inputs'!$H$26-1),N('APA Inputs'!$G$26),0),0))*IF('APA Inputs'!$I$26="",1,'APA Inputs'!$I$26))</f>
        <v>0</v>
      </c>
      <c r="BC11" s="419" t="n">
        <f aca="false">IF('APA Inputs'!$C$26="",0,(IF(AND(BC$4&gt;='APA Inputs'!$C$26,BC$4&lt;EDATE('APA Inputs'!$C$26,N('APA Inputs'!$D$26))),'APA Inputs'!$J$26,0)+IF(N('APA Inputs'!$H$26)&gt;0,IF(BC$4=EDATE('APA Inputs'!$C$26,'APA Inputs'!$H$26-1),N('APA Inputs'!$G$26),0),0))*IF('APA Inputs'!$I$26="",1,'APA Inputs'!$I$26))</f>
        <v>0</v>
      </c>
      <c r="BD11" s="419" t="n">
        <f aca="false">IF('APA Inputs'!$C$26="",0,(IF(AND(BD$4&gt;='APA Inputs'!$C$26,BD$4&lt;EDATE('APA Inputs'!$C$26,N('APA Inputs'!$D$26))),'APA Inputs'!$J$26,0)+IF(N('APA Inputs'!$H$26)&gt;0,IF(BD$4=EDATE('APA Inputs'!$C$26,'APA Inputs'!$H$26-1),N('APA Inputs'!$G$26),0),0))*IF('APA Inputs'!$I$26="",1,'APA Inputs'!$I$26))</f>
        <v>0</v>
      </c>
      <c r="BE11" s="419" t="n">
        <f aca="false">IF('APA Inputs'!$C$26="",0,(IF(AND(BE$4&gt;='APA Inputs'!$C$26,BE$4&lt;EDATE('APA Inputs'!$C$26,N('APA Inputs'!$D$26))),'APA Inputs'!$J$26,0)+IF(N('APA Inputs'!$H$26)&gt;0,IF(BE$4=EDATE('APA Inputs'!$C$26,'APA Inputs'!$H$26-1),N('APA Inputs'!$G$26),0),0))*IF('APA Inputs'!$I$26="",1,'APA Inputs'!$I$26))</f>
        <v>0</v>
      </c>
      <c r="BF11" s="419" t="n">
        <f aca="false">IF('APA Inputs'!$C$26="",0,(IF(AND(BF$4&gt;='APA Inputs'!$C$26,BF$4&lt;EDATE('APA Inputs'!$C$26,N('APA Inputs'!$D$26))),'APA Inputs'!$J$26,0)+IF(N('APA Inputs'!$H$26)&gt;0,IF(BF$4=EDATE('APA Inputs'!$C$26,'APA Inputs'!$H$26-1),N('APA Inputs'!$G$26),0),0))*IF('APA Inputs'!$I$26="",1,'APA Inputs'!$I$26))</f>
        <v>0</v>
      </c>
      <c r="BG11" s="419" t="n">
        <f aca="false">IF('APA Inputs'!$C$26="",0,(IF(AND(BG$4&gt;='APA Inputs'!$C$26,BG$4&lt;EDATE('APA Inputs'!$C$26,N('APA Inputs'!$D$26))),'APA Inputs'!$J$26,0)+IF(N('APA Inputs'!$H$26)&gt;0,IF(BG$4=EDATE('APA Inputs'!$C$26,'APA Inputs'!$H$26-1),N('APA Inputs'!$G$26),0),0))*IF('APA Inputs'!$I$26="",1,'APA Inputs'!$I$26))</f>
        <v>0</v>
      </c>
      <c r="BH11" s="419" t="n">
        <f aca="false">IF('APA Inputs'!$C$26="",0,(IF(AND(BH$4&gt;='APA Inputs'!$C$26,BH$4&lt;EDATE('APA Inputs'!$C$26,N('APA Inputs'!$D$26))),'APA Inputs'!$J$26,0)+IF(N('APA Inputs'!$H$26)&gt;0,IF(BH$4=EDATE('APA Inputs'!$C$26,'APA Inputs'!$H$26-1),N('APA Inputs'!$G$26),0),0))*IF('APA Inputs'!$I$26="",1,'APA Inputs'!$I$26))</f>
        <v>0</v>
      </c>
      <c r="BI11" s="419" t="n">
        <f aca="false">IF('APA Inputs'!$C$26="",0,(IF(AND(BI$4&gt;='APA Inputs'!$C$26,BI$4&lt;EDATE('APA Inputs'!$C$26,N('APA Inputs'!$D$26))),'APA Inputs'!$J$26,0)+IF(N('APA Inputs'!$H$26)&gt;0,IF(BI$4=EDATE('APA Inputs'!$C$26,'APA Inputs'!$H$26-1),N('APA Inputs'!$G$26),0),0))*IF('APA Inputs'!$I$26="",1,'APA Inputs'!$I$26))</f>
        <v>0</v>
      </c>
      <c r="BJ11" s="419" t="n">
        <f aca="false">IF('APA Inputs'!$C$26="",0,(IF(AND(BJ$4&gt;='APA Inputs'!$C$26,BJ$4&lt;EDATE('APA Inputs'!$C$26,N('APA Inputs'!$D$26))),'APA Inputs'!$J$26,0)+IF(N('APA Inputs'!$H$26)&gt;0,IF(BJ$4=EDATE('APA Inputs'!$C$26,'APA Inputs'!$H$26-1),N('APA Inputs'!$G$26),0),0))*IF('APA Inputs'!$I$26="",1,'APA Inputs'!$I$26))</f>
        <v>0</v>
      </c>
      <c r="BK11" s="419" t="n">
        <f aca="false">IF('APA Inputs'!$C$26="",0,(IF(AND(BK$4&gt;='APA Inputs'!$C$26,BK$4&lt;EDATE('APA Inputs'!$C$26,N('APA Inputs'!$D$26))),'APA Inputs'!$J$26,0)+IF(N('APA Inputs'!$H$26)&gt;0,IF(BK$4=EDATE('APA Inputs'!$C$26,'APA Inputs'!$H$26-1),N('APA Inputs'!$G$26),0),0))*IF('APA Inputs'!$I$26="",1,'APA Inputs'!$I$26))</f>
        <v>0</v>
      </c>
      <c r="BL11" s="419" t="n">
        <f aca="false">IF('APA Inputs'!$C$26="",0,(IF(AND(BL$4&gt;='APA Inputs'!$C$26,BL$4&lt;EDATE('APA Inputs'!$C$26,N('APA Inputs'!$D$26))),'APA Inputs'!$J$26,0)+IF(N('APA Inputs'!$H$26)&gt;0,IF(BL$4=EDATE('APA Inputs'!$C$26,'APA Inputs'!$H$26-1),N('APA Inputs'!$G$26),0),0))*IF('APA Inputs'!$I$26="",1,'APA Inputs'!$I$26))</f>
        <v>0</v>
      </c>
      <c r="BM11" s="419" t="n">
        <f aca="false">IF('APA Inputs'!$C$26="",0,(IF(AND(BM$4&gt;='APA Inputs'!$C$26,BM$4&lt;EDATE('APA Inputs'!$C$26,N('APA Inputs'!$D$26))),'APA Inputs'!$J$26,0)+IF(N('APA Inputs'!$H$26)&gt;0,IF(BM$4=EDATE('APA Inputs'!$C$26,'APA Inputs'!$H$26-1),N('APA Inputs'!$G$26),0),0))*IF('APA Inputs'!$I$26="",1,'APA Inputs'!$I$26))</f>
        <v>0</v>
      </c>
      <c r="BN11" s="419" t="n">
        <f aca="false">IF('APA Inputs'!$C$26="",0,(IF(AND(BN$4&gt;='APA Inputs'!$C$26,BN$4&lt;EDATE('APA Inputs'!$C$26,N('APA Inputs'!$D$26))),'APA Inputs'!$J$26,0)+IF(N('APA Inputs'!$H$26)&gt;0,IF(BN$4=EDATE('APA Inputs'!$C$26,'APA Inputs'!$H$26-1),N('APA Inputs'!$G$26),0),0))*IF('APA Inputs'!$I$26="",1,'APA Inputs'!$I$26))</f>
        <v>0</v>
      </c>
      <c r="BO11" s="419" t="n">
        <f aca="false">IF('APA Inputs'!$C$26="",0,(IF(AND(BO$4&gt;='APA Inputs'!$C$26,BO$4&lt;EDATE('APA Inputs'!$C$26,N('APA Inputs'!$D$26))),'APA Inputs'!$J$26,0)+IF(N('APA Inputs'!$H$26)&gt;0,IF(BO$4=EDATE('APA Inputs'!$C$26,'APA Inputs'!$H$26-1),N('APA Inputs'!$G$26),0),0))*IF('APA Inputs'!$I$26="",1,'APA Inputs'!$I$26))</f>
        <v>0</v>
      </c>
      <c r="BP11" s="419" t="n">
        <f aca="false">IF('APA Inputs'!$C$26="",0,(IF(AND(BP$4&gt;='APA Inputs'!$C$26,BP$4&lt;EDATE('APA Inputs'!$C$26,N('APA Inputs'!$D$26))),'APA Inputs'!$J$26,0)+IF(N('APA Inputs'!$H$26)&gt;0,IF(BP$4=EDATE('APA Inputs'!$C$26,'APA Inputs'!$H$26-1),N('APA Inputs'!$G$26),0),0))*IF('APA Inputs'!$I$26="",1,'APA Inputs'!$I$26))</f>
        <v>0</v>
      </c>
      <c r="BQ11" s="419" t="n">
        <f aca="false">IF('APA Inputs'!$C$26="",0,(IF(AND(BQ$4&gt;='APA Inputs'!$C$26,BQ$4&lt;EDATE('APA Inputs'!$C$26,N('APA Inputs'!$D$26))),'APA Inputs'!$J$26,0)+IF(N('APA Inputs'!$H$26)&gt;0,IF(BQ$4=EDATE('APA Inputs'!$C$26,'APA Inputs'!$H$26-1),N('APA Inputs'!$G$26),0),0))*IF('APA Inputs'!$I$26="",1,'APA Inputs'!$I$26))</f>
        <v>0</v>
      </c>
      <c r="BR11" s="419" t="n">
        <f aca="false">IF('APA Inputs'!$C$26="",0,(IF(AND(BR$4&gt;='APA Inputs'!$C$26,BR$4&lt;EDATE('APA Inputs'!$C$26,N('APA Inputs'!$D$26))),'APA Inputs'!$J$26,0)+IF(N('APA Inputs'!$H$26)&gt;0,IF(BR$4=EDATE('APA Inputs'!$C$26,'APA Inputs'!$H$26-1),N('APA Inputs'!$G$26),0),0))*IF('APA Inputs'!$I$26="",1,'APA Inputs'!$I$26))</f>
        <v>0</v>
      </c>
      <c r="BS11" s="419" t="n">
        <f aca="false">IF('APA Inputs'!$C$26="",0,(IF(AND(BS$4&gt;='APA Inputs'!$C$26,BS$4&lt;EDATE('APA Inputs'!$C$26,N('APA Inputs'!$D$26))),'APA Inputs'!$J$26,0)+IF(N('APA Inputs'!$H$26)&gt;0,IF(BS$4=EDATE('APA Inputs'!$C$26,'APA Inputs'!$H$26-1),N('APA Inputs'!$G$26),0),0))*IF('APA Inputs'!$I$26="",1,'APA Inputs'!$I$26))</f>
        <v>0</v>
      </c>
      <c r="BT11" s="419" t="n">
        <f aca="false">IF('APA Inputs'!$C$26="",0,(IF(AND(BT$4&gt;='APA Inputs'!$C$26,BT$4&lt;EDATE('APA Inputs'!$C$26,N('APA Inputs'!$D$26))),'APA Inputs'!$J$26,0)+IF(N('APA Inputs'!$H$26)&gt;0,IF(BT$4=EDATE('APA Inputs'!$C$26,'APA Inputs'!$H$26-1),N('APA Inputs'!$G$26),0),0))*IF('APA Inputs'!$I$26="",1,'APA Inputs'!$I$26))</f>
        <v>0</v>
      </c>
      <c r="BU11" s="419" t="n">
        <f aca="false">IF('APA Inputs'!$C$26="",0,(IF(AND(BU$4&gt;='APA Inputs'!$C$26,BU$4&lt;EDATE('APA Inputs'!$C$26,N('APA Inputs'!$D$26))),'APA Inputs'!$J$26,0)+IF(N('APA Inputs'!$H$26)&gt;0,IF(BU$4=EDATE('APA Inputs'!$C$26,'APA Inputs'!$H$26-1),N('APA Inputs'!$G$26),0),0))*IF('APA Inputs'!$I$26="",1,'APA Inputs'!$I$26))</f>
        <v>0</v>
      </c>
      <c r="BV11" s="419" t="n">
        <f aca="false">IF('APA Inputs'!$C$26="",0,(IF(AND(BV$4&gt;='APA Inputs'!$C$26,BV$4&lt;EDATE('APA Inputs'!$C$26,N('APA Inputs'!$D$26))),'APA Inputs'!$J$26,0)+IF(N('APA Inputs'!$H$26)&gt;0,IF(BV$4=EDATE('APA Inputs'!$C$26,'APA Inputs'!$H$26-1),N('APA Inputs'!$G$26),0),0))*IF('APA Inputs'!$I$26="",1,'APA Inputs'!$I$26))</f>
        <v>0</v>
      </c>
      <c r="BW11" s="419" t="n">
        <f aca="false">IF('APA Inputs'!$C$26="",0,(IF(AND(BW$4&gt;='APA Inputs'!$C$26,BW$4&lt;EDATE('APA Inputs'!$C$26,N('APA Inputs'!$D$26))),'APA Inputs'!$J$26,0)+IF(N('APA Inputs'!$H$26)&gt;0,IF(BW$4=EDATE('APA Inputs'!$C$26,'APA Inputs'!$H$26-1),N('APA Inputs'!$G$26),0),0))*IF('APA Inputs'!$I$26="",1,'APA Inputs'!$I$26))</f>
        <v>0</v>
      </c>
      <c r="BX11" s="419" t="n">
        <f aca="false">IF('APA Inputs'!$C$26="",0,(IF(AND(BX$4&gt;='APA Inputs'!$C$26,BX$4&lt;EDATE('APA Inputs'!$C$26,N('APA Inputs'!$D$26))),'APA Inputs'!$J$26,0)+IF(N('APA Inputs'!$H$26)&gt;0,IF(BX$4=EDATE('APA Inputs'!$C$26,'APA Inputs'!$H$26-1),N('APA Inputs'!$G$26),0),0))*IF('APA Inputs'!$I$26="",1,'APA Inputs'!$I$26))</f>
        <v>0</v>
      </c>
      <c r="BY11" s="419" t="n">
        <f aca="false">IF('APA Inputs'!$C$26="",0,(IF(AND(BY$4&gt;='APA Inputs'!$C$26,BY$4&lt;EDATE('APA Inputs'!$C$26,N('APA Inputs'!$D$26))),'APA Inputs'!$J$26,0)+IF(N('APA Inputs'!$H$26)&gt;0,IF(BY$4=EDATE('APA Inputs'!$C$26,'APA Inputs'!$H$26-1),N('APA Inputs'!$G$26),0),0))*IF('APA Inputs'!$I$26="",1,'APA Inputs'!$I$26))</f>
        <v>0</v>
      </c>
      <c r="BZ11" s="419" t="n">
        <f aca="false">IF('APA Inputs'!$C$26="",0,(IF(AND(BZ$4&gt;='APA Inputs'!$C$26,BZ$4&lt;EDATE('APA Inputs'!$C$26,N('APA Inputs'!$D$26))),'APA Inputs'!$J$26,0)+IF(N('APA Inputs'!$H$26)&gt;0,IF(BZ$4=EDATE('APA Inputs'!$C$26,'APA Inputs'!$H$26-1),N('APA Inputs'!$G$26),0),0))*IF('APA Inputs'!$I$26="",1,'APA Inputs'!$I$26))</f>
        <v>0</v>
      </c>
      <c r="CA11" s="419" t="n">
        <f aca="false">IF('APA Inputs'!$C$26="",0,(IF(AND(CA$4&gt;='APA Inputs'!$C$26,CA$4&lt;EDATE('APA Inputs'!$C$26,N('APA Inputs'!$D$26))),'APA Inputs'!$J$26,0)+IF(N('APA Inputs'!$H$26)&gt;0,IF(CA$4=EDATE('APA Inputs'!$C$26,'APA Inputs'!$H$26-1),N('APA Inputs'!$G$26),0),0))*IF('APA Inputs'!$I$26="",1,'APA Inputs'!$I$26))</f>
        <v>0</v>
      </c>
      <c r="CB11" s="419" t="n">
        <f aca="false">IF('APA Inputs'!$C$26="",0,(IF(AND(CB$4&gt;='APA Inputs'!$C$26,CB$4&lt;EDATE('APA Inputs'!$C$26,N('APA Inputs'!$D$26))),'APA Inputs'!$J$26,0)+IF(N('APA Inputs'!$H$26)&gt;0,IF(CB$4=EDATE('APA Inputs'!$C$26,'APA Inputs'!$H$26-1),N('APA Inputs'!$G$26),0),0))*IF('APA Inputs'!$I$26="",1,'APA Inputs'!$I$26))</f>
        <v>0</v>
      </c>
      <c r="CC11" s="419" t="n">
        <f aca="false">IF('APA Inputs'!$C$26="",0,(IF(AND(CC$4&gt;='APA Inputs'!$C$26,CC$4&lt;EDATE('APA Inputs'!$C$26,N('APA Inputs'!$D$26))),'APA Inputs'!$J$26,0)+IF(N('APA Inputs'!$H$26)&gt;0,IF(CC$4=EDATE('APA Inputs'!$C$26,'APA Inputs'!$H$26-1),N('APA Inputs'!$G$26),0),0))*IF('APA Inputs'!$I$26="",1,'APA Inputs'!$I$26))</f>
        <v>0</v>
      </c>
      <c r="CD11" s="419" t="n">
        <f aca="false">IF('APA Inputs'!$C$26="",0,(IF(AND(CD$4&gt;='APA Inputs'!$C$26,CD$4&lt;EDATE('APA Inputs'!$C$26,N('APA Inputs'!$D$26))),'APA Inputs'!$J$26,0)+IF(N('APA Inputs'!$H$26)&gt;0,IF(CD$4=EDATE('APA Inputs'!$C$26,'APA Inputs'!$H$26-1),N('APA Inputs'!$G$26),0),0))*IF('APA Inputs'!$I$26="",1,'APA Inputs'!$I$26))</f>
        <v>0</v>
      </c>
      <c r="CE11" s="419" t="n">
        <f aca="false">IF('APA Inputs'!$C$26="",0,(IF(AND(CE$4&gt;='APA Inputs'!$C$26,CE$4&lt;EDATE('APA Inputs'!$C$26,N('APA Inputs'!$D$26))),'APA Inputs'!$J$26,0)+IF(N('APA Inputs'!$H$26)&gt;0,IF(CE$4=EDATE('APA Inputs'!$C$26,'APA Inputs'!$H$26-1),N('APA Inputs'!$G$26),0),0))*IF('APA Inputs'!$I$26="",1,'APA Inputs'!$I$26))</f>
        <v>0</v>
      </c>
      <c r="CF11" s="419" t="n">
        <f aca="false">IF('APA Inputs'!$C$26="",0,(IF(AND(CF$4&gt;='APA Inputs'!$C$26,CF$4&lt;EDATE('APA Inputs'!$C$26,N('APA Inputs'!$D$26))),'APA Inputs'!$J$26,0)+IF(N('APA Inputs'!$H$26)&gt;0,IF(CF$4=EDATE('APA Inputs'!$C$26,'APA Inputs'!$H$26-1),N('APA Inputs'!$G$26),0),0))*IF('APA Inputs'!$I$26="",1,'APA Inputs'!$I$26))</f>
        <v>0</v>
      </c>
      <c r="CG11" s="419" t="n">
        <f aca="false">IF('APA Inputs'!$C$26="",0,(IF(AND(CG$4&gt;='APA Inputs'!$C$26,CG$4&lt;EDATE('APA Inputs'!$C$26,N('APA Inputs'!$D$26))),'APA Inputs'!$J$26,0)+IF(N('APA Inputs'!$H$26)&gt;0,IF(CG$4=EDATE('APA Inputs'!$C$26,'APA Inputs'!$H$26-1),N('APA Inputs'!$G$26),0),0))*IF('APA Inputs'!$I$26="",1,'APA Inputs'!$I$26))</f>
        <v>0</v>
      </c>
      <c r="CH11" s="419" t="n">
        <f aca="false">IF('APA Inputs'!$C$26="",0,(IF(AND(CH$4&gt;='APA Inputs'!$C$26,CH$4&lt;EDATE('APA Inputs'!$C$26,N('APA Inputs'!$D$26))),'APA Inputs'!$J$26,0)+IF(N('APA Inputs'!$H$26)&gt;0,IF(CH$4=EDATE('APA Inputs'!$C$26,'APA Inputs'!$H$26-1),N('APA Inputs'!$G$26),0),0))*IF('APA Inputs'!$I$26="",1,'APA Inputs'!$I$26))</f>
        <v>0</v>
      </c>
      <c r="CI11" s="419" t="n">
        <f aca="false">IF('APA Inputs'!$C$26="",0,(IF(AND(CI$4&gt;='APA Inputs'!$C$26,CI$4&lt;EDATE('APA Inputs'!$C$26,N('APA Inputs'!$D$26))),'APA Inputs'!$J$26,0)+IF(N('APA Inputs'!$H$26)&gt;0,IF(CI$4=EDATE('APA Inputs'!$C$26,'APA Inputs'!$H$26-1),N('APA Inputs'!$G$26),0),0))*IF('APA Inputs'!$I$26="",1,'APA Inputs'!$I$26))</f>
        <v>0</v>
      </c>
      <c r="CJ11" s="419" t="n">
        <f aca="false">IF('APA Inputs'!$C$26="",0,(IF(AND(CJ$4&gt;='APA Inputs'!$C$26,CJ$4&lt;EDATE('APA Inputs'!$C$26,N('APA Inputs'!$D$26))),'APA Inputs'!$J$26,0)+IF(N('APA Inputs'!$H$26)&gt;0,IF(CJ$4=EDATE('APA Inputs'!$C$26,'APA Inputs'!$H$26-1),N('APA Inputs'!$G$26),0),0))*IF('APA Inputs'!$I$26="",1,'APA Inputs'!$I$26))</f>
        <v>0</v>
      </c>
      <c r="CK11" s="419" t="n">
        <f aca="false">IF('APA Inputs'!$C$26="",0,(IF(AND(CK$4&gt;='APA Inputs'!$C$26,CK$4&lt;EDATE('APA Inputs'!$C$26,N('APA Inputs'!$D$26))),'APA Inputs'!$J$26,0)+IF(N('APA Inputs'!$H$26)&gt;0,IF(CK$4=EDATE('APA Inputs'!$C$26,'APA Inputs'!$H$26-1),N('APA Inputs'!$G$26),0),0))*IF('APA Inputs'!$I$26="",1,'APA Inputs'!$I$26))</f>
        <v>0</v>
      </c>
      <c r="CL11" s="419" t="n">
        <f aca="false">IF('APA Inputs'!$C$26="",0,(IF(AND(CL$4&gt;='APA Inputs'!$C$26,CL$4&lt;EDATE('APA Inputs'!$C$26,N('APA Inputs'!$D$26))),'APA Inputs'!$J$26,0)+IF(N('APA Inputs'!$H$26)&gt;0,IF(CL$4=EDATE('APA Inputs'!$C$26,'APA Inputs'!$H$26-1),N('APA Inputs'!$G$26),0),0))*IF('APA Inputs'!$I$26="",1,'APA Inputs'!$I$26))</f>
        <v>0</v>
      </c>
      <c r="CM11" s="419" t="n">
        <f aca="false">IF('APA Inputs'!$C$26="",0,(IF(AND(CM$4&gt;='APA Inputs'!$C$26,CM$4&lt;EDATE('APA Inputs'!$C$26,N('APA Inputs'!$D$26))),'APA Inputs'!$J$26,0)+IF(N('APA Inputs'!$H$26)&gt;0,IF(CM$4=EDATE('APA Inputs'!$C$26,'APA Inputs'!$H$26-1),N('APA Inputs'!$G$26),0),0))*IF('APA Inputs'!$I$26="",1,'APA Inputs'!$I$26))</f>
        <v>0</v>
      </c>
      <c r="CN11" s="419" t="n">
        <f aca="false">IF('APA Inputs'!$C$26="",0,(IF(AND(CN$4&gt;='APA Inputs'!$C$26,CN$4&lt;EDATE('APA Inputs'!$C$26,N('APA Inputs'!$D$26))),'APA Inputs'!$J$26,0)+IF(N('APA Inputs'!$H$26)&gt;0,IF(CN$4=EDATE('APA Inputs'!$C$26,'APA Inputs'!$H$26-1),N('APA Inputs'!$G$26),0),0))*IF('APA Inputs'!$I$26="",1,'APA Inputs'!$I$26))</f>
        <v>0</v>
      </c>
      <c r="CO11" s="419" t="n">
        <f aca="false">IF('APA Inputs'!$C$26="",0,(IF(AND(CO$4&gt;='APA Inputs'!$C$26,CO$4&lt;EDATE('APA Inputs'!$C$26,N('APA Inputs'!$D$26))),'APA Inputs'!$J$26,0)+IF(N('APA Inputs'!$H$26)&gt;0,IF(CO$4=EDATE('APA Inputs'!$C$26,'APA Inputs'!$H$26-1),N('APA Inputs'!$G$26),0),0))*IF('APA Inputs'!$I$26="",1,'APA Inputs'!$I$26))</f>
        <v>0</v>
      </c>
      <c r="CP11" s="419" t="n">
        <f aca="false">IF('APA Inputs'!$C$26="",0,(IF(AND(CP$4&gt;='APA Inputs'!$C$26,CP$4&lt;EDATE('APA Inputs'!$C$26,N('APA Inputs'!$D$26))),'APA Inputs'!$J$26,0)+IF(N('APA Inputs'!$H$26)&gt;0,IF(CP$4=EDATE('APA Inputs'!$C$26,'APA Inputs'!$H$26-1),N('APA Inputs'!$G$26),0),0))*IF('APA Inputs'!$I$26="",1,'APA Inputs'!$I$26))</f>
        <v>0</v>
      </c>
      <c r="CQ11" s="419" t="n">
        <f aca="false">IF('APA Inputs'!$C$26="",0,(IF(AND(CQ$4&gt;='APA Inputs'!$C$26,CQ$4&lt;EDATE('APA Inputs'!$C$26,N('APA Inputs'!$D$26))),'APA Inputs'!$J$26,0)+IF(N('APA Inputs'!$H$26)&gt;0,IF(CQ$4=EDATE('APA Inputs'!$C$26,'APA Inputs'!$H$26-1),N('APA Inputs'!$G$26),0),0))*IF('APA Inputs'!$I$26="",1,'APA Inputs'!$I$26))</f>
        <v>0</v>
      </c>
      <c r="CR11" s="419" t="n">
        <f aca="false">IF('APA Inputs'!$C$26="",0,(IF(AND(CR$4&gt;='APA Inputs'!$C$26,CR$4&lt;EDATE('APA Inputs'!$C$26,N('APA Inputs'!$D$26))),'APA Inputs'!$J$26,0)+IF(N('APA Inputs'!$H$26)&gt;0,IF(CR$4=EDATE('APA Inputs'!$C$26,'APA Inputs'!$H$26-1),N('APA Inputs'!$G$26),0),0))*IF('APA Inputs'!$I$26="",1,'APA Inputs'!$I$26))</f>
        <v>0</v>
      </c>
      <c r="CS11" s="419" t="n">
        <f aca="false">IF('APA Inputs'!$C$26="",0,(IF(AND(CS$4&gt;='APA Inputs'!$C$26,CS$4&lt;EDATE('APA Inputs'!$C$26,N('APA Inputs'!$D$26))),'APA Inputs'!$J$26,0)+IF(N('APA Inputs'!$H$26)&gt;0,IF(CS$4=EDATE('APA Inputs'!$C$26,'APA Inputs'!$H$26-1),N('APA Inputs'!$G$26),0),0))*IF('APA Inputs'!$I$26="",1,'APA Inputs'!$I$26))</f>
        <v>0</v>
      </c>
      <c r="CT11" s="419" t="n">
        <f aca="false">IF('APA Inputs'!$C$26="",0,(IF(AND(CT$4&gt;='APA Inputs'!$C$26,CT$4&lt;EDATE('APA Inputs'!$C$26,N('APA Inputs'!$D$26))),'APA Inputs'!$J$26,0)+IF(N('APA Inputs'!$H$26)&gt;0,IF(CT$4=EDATE('APA Inputs'!$C$26,'APA Inputs'!$H$26-1),N('APA Inputs'!$G$26),0),0))*IF('APA Inputs'!$I$26="",1,'APA Inputs'!$I$26))</f>
        <v>0</v>
      </c>
      <c r="CU11" s="419" t="n">
        <f aca="false">IF('APA Inputs'!$C$26="",0,(IF(AND(CU$4&gt;='APA Inputs'!$C$26,CU$4&lt;EDATE('APA Inputs'!$C$26,N('APA Inputs'!$D$26))),'APA Inputs'!$J$26,0)+IF(N('APA Inputs'!$H$26)&gt;0,IF(CU$4=EDATE('APA Inputs'!$C$26,'APA Inputs'!$H$26-1),N('APA Inputs'!$G$26),0),0))*IF('APA Inputs'!$I$26="",1,'APA Inputs'!$I$26))</f>
        <v>0</v>
      </c>
      <c r="CV11" s="419" t="n">
        <f aca="false">IF('APA Inputs'!$C$26="",0,(IF(AND(CV$4&gt;='APA Inputs'!$C$26,CV$4&lt;EDATE('APA Inputs'!$C$26,N('APA Inputs'!$D$26))),'APA Inputs'!$J$26,0)+IF(N('APA Inputs'!$H$26)&gt;0,IF(CV$4=EDATE('APA Inputs'!$C$26,'APA Inputs'!$H$26-1),N('APA Inputs'!$G$26),0),0))*IF('APA Inputs'!$I$26="",1,'APA Inputs'!$I$26))</f>
        <v>0</v>
      </c>
      <c r="CW11" s="419" t="n">
        <f aca="false">IF('APA Inputs'!$C$26="",0,(IF(AND(CW$4&gt;='APA Inputs'!$C$26,CW$4&lt;EDATE('APA Inputs'!$C$26,N('APA Inputs'!$D$26))),'APA Inputs'!$J$26,0)+IF(N('APA Inputs'!$H$26)&gt;0,IF(CW$4=EDATE('APA Inputs'!$C$26,'APA Inputs'!$H$26-1),N('APA Inputs'!$G$26),0),0))*IF('APA Inputs'!$I$26="",1,'APA Inputs'!$I$26))</f>
        <v>0</v>
      </c>
      <c r="CX11" s="419" t="n">
        <f aca="false">IF('APA Inputs'!$C$26="",0,(IF(AND(CX$4&gt;='APA Inputs'!$C$26,CX$4&lt;EDATE('APA Inputs'!$C$26,N('APA Inputs'!$D$26))),'APA Inputs'!$J$26,0)+IF(N('APA Inputs'!$H$26)&gt;0,IF(CX$4=EDATE('APA Inputs'!$C$26,'APA Inputs'!$H$26-1),N('APA Inputs'!$G$26),0),0))*IF('APA Inputs'!$I$26="",1,'APA Inputs'!$I$26))</f>
        <v>0</v>
      </c>
      <c r="CY11" s="419" t="n">
        <f aca="false">IF('APA Inputs'!$C$26="",0,(IF(AND(CY$4&gt;='APA Inputs'!$C$26,CY$4&lt;EDATE('APA Inputs'!$C$26,N('APA Inputs'!$D$26))),'APA Inputs'!$J$26,0)+IF(N('APA Inputs'!$H$26)&gt;0,IF(CY$4=EDATE('APA Inputs'!$C$26,'APA Inputs'!$H$26-1),N('APA Inputs'!$G$26),0),0))*IF('APA Inputs'!$I$26="",1,'APA Inputs'!$I$26))</f>
        <v>0</v>
      </c>
      <c r="CZ11" s="419" t="n">
        <f aca="false">IF('APA Inputs'!$C$26="",0,(IF(AND(CZ$4&gt;='APA Inputs'!$C$26,CZ$4&lt;EDATE('APA Inputs'!$C$26,N('APA Inputs'!$D$26))),'APA Inputs'!$J$26,0)+IF(N('APA Inputs'!$H$26)&gt;0,IF(CZ$4=EDATE('APA Inputs'!$C$26,'APA Inputs'!$H$26-1),N('APA Inputs'!$G$26),0),0))*IF('APA Inputs'!$I$26="",1,'APA Inputs'!$I$26))</f>
        <v>0</v>
      </c>
      <c r="DA11" s="419" t="n">
        <f aca="false">IF('APA Inputs'!$C$26="",0,(IF(AND(DA$4&gt;='APA Inputs'!$C$26,DA$4&lt;EDATE('APA Inputs'!$C$26,N('APA Inputs'!$D$26))),'APA Inputs'!$J$26,0)+IF(N('APA Inputs'!$H$26)&gt;0,IF(DA$4=EDATE('APA Inputs'!$C$26,'APA Inputs'!$H$26-1),N('APA Inputs'!$G$26),0),0))*IF('APA Inputs'!$I$26="",1,'APA Inputs'!$I$26))</f>
        <v>0</v>
      </c>
      <c r="DB11" s="419" t="n">
        <f aca="false">IF('APA Inputs'!$C$26="",0,(IF(AND(DB$4&gt;='APA Inputs'!$C$26,DB$4&lt;EDATE('APA Inputs'!$C$26,N('APA Inputs'!$D$26))),'APA Inputs'!$J$26,0)+IF(N('APA Inputs'!$H$26)&gt;0,IF(DB$4=EDATE('APA Inputs'!$C$26,'APA Inputs'!$H$26-1),N('APA Inputs'!$G$26),0),0))*IF('APA Inputs'!$I$26="",1,'APA Inputs'!$I$26))</f>
        <v>0</v>
      </c>
      <c r="DC11" s="419" t="n">
        <f aca="false">IF('APA Inputs'!$C$26="",0,(IF(AND(DC$4&gt;='APA Inputs'!$C$26,DC$4&lt;EDATE('APA Inputs'!$C$26,N('APA Inputs'!$D$26))),'APA Inputs'!$J$26,0)+IF(N('APA Inputs'!$H$26)&gt;0,IF(DC$4=EDATE('APA Inputs'!$C$26,'APA Inputs'!$H$26-1),N('APA Inputs'!$G$26),0),0))*IF('APA Inputs'!$I$26="",1,'APA Inputs'!$I$26))</f>
        <v>0</v>
      </c>
      <c r="DD11" s="419" t="n">
        <f aca="false">IF('APA Inputs'!$C$26="",0,(IF(AND(DD$4&gt;='APA Inputs'!$C$26,DD$4&lt;EDATE('APA Inputs'!$C$26,N('APA Inputs'!$D$26))),'APA Inputs'!$J$26,0)+IF(N('APA Inputs'!$H$26)&gt;0,IF(DD$4=EDATE('APA Inputs'!$C$26,'APA Inputs'!$H$26-1),N('APA Inputs'!$G$26),0),0))*IF('APA Inputs'!$I$26="",1,'APA Inputs'!$I$26))</f>
        <v>0</v>
      </c>
      <c r="DE11" s="419"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19" t="n">
        <f aca="false">IF('APA Inputs'!$C$27="",0,(IF(AND(B$4&gt;='APA Inputs'!$C$27,B$4&lt;EDATE('APA Inputs'!$C$27,N('APA Inputs'!$D$27))),'APA Inputs'!$J$27,0)+IF(N('APA Inputs'!$H$27)&gt;0,IF(B$4=EDATE('APA Inputs'!$C$27,'APA Inputs'!$H$27-1),N('APA Inputs'!$G$27),0),0))*IF('APA Inputs'!$I$27="",1,'APA Inputs'!$I$27))</f>
        <v>0</v>
      </c>
      <c r="C12" s="419" t="n">
        <f aca="false">IF('APA Inputs'!$C$27="",0,(IF(AND(C$4&gt;='APA Inputs'!$C$27,C$4&lt;EDATE('APA Inputs'!$C$27,N('APA Inputs'!$D$27))),'APA Inputs'!$J$27,0)+IF(N('APA Inputs'!$H$27)&gt;0,IF(C$4=EDATE('APA Inputs'!$C$27,'APA Inputs'!$H$27-1),N('APA Inputs'!$G$27),0),0))*IF('APA Inputs'!$I$27="",1,'APA Inputs'!$I$27))</f>
        <v>0</v>
      </c>
      <c r="D12" s="419" t="n">
        <f aca="false">IF('APA Inputs'!$C$27="",0,(IF(AND(D$4&gt;='APA Inputs'!$C$27,D$4&lt;EDATE('APA Inputs'!$C$27,N('APA Inputs'!$D$27))),'APA Inputs'!$J$27,0)+IF(N('APA Inputs'!$H$27)&gt;0,IF(D$4=EDATE('APA Inputs'!$C$27,'APA Inputs'!$H$27-1),N('APA Inputs'!$G$27),0),0))*IF('APA Inputs'!$I$27="",1,'APA Inputs'!$I$27))</f>
        <v>0</v>
      </c>
      <c r="E12" s="419" t="n">
        <f aca="false">IF('APA Inputs'!$C$27="",0,(IF(AND(E$4&gt;='APA Inputs'!$C$27,E$4&lt;EDATE('APA Inputs'!$C$27,N('APA Inputs'!$D$27))),'APA Inputs'!$J$27,0)+IF(N('APA Inputs'!$H$27)&gt;0,IF(E$4=EDATE('APA Inputs'!$C$27,'APA Inputs'!$H$27-1),N('APA Inputs'!$G$27),0),0))*IF('APA Inputs'!$I$27="",1,'APA Inputs'!$I$27))</f>
        <v>0</v>
      </c>
      <c r="F12" s="419" t="n">
        <f aca="false">IF('APA Inputs'!$C$27="",0,(IF(AND(F$4&gt;='APA Inputs'!$C$27,F$4&lt;EDATE('APA Inputs'!$C$27,N('APA Inputs'!$D$27))),'APA Inputs'!$J$27,0)+IF(N('APA Inputs'!$H$27)&gt;0,IF(F$4=EDATE('APA Inputs'!$C$27,'APA Inputs'!$H$27-1),N('APA Inputs'!$G$27),0),0))*IF('APA Inputs'!$I$27="",1,'APA Inputs'!$I$27))</f>
        <v>0</v>
      </c>
      <c r="G12" s="419" t="n">
        <f aca="false">IF('APA Inputs'!$C$27="",0,(IF(AND(G$4&gt;='APA Inputs'!$C$27,G$4&lt;EDATE('APA Inputs'!$C$27,N('APA Inputs'!$D$27))),'APA Inputs'!$J$27,0)+IF(N('APA Inputs'!$H$27)&gt;0,IF(G$4=EDATE('APA Inputs'!$C$27,'APA Inputs'!$H$27-1),N('APA Inputs'!$G$27),0),0))*IF('APA Inputs'!$I$27="",1,'APA Inputs'!$I$27))</f>
        <v>0</v>
      </c>
      <c r="H12" s="419" t="n">
        <f aca="false">IF('APA Inputs'!$C$27="",0,(IF(AND(H$4&gt;='APA Inputs'!$C$27,H$4&lt;EDATE('APA Inputs'!$C$27,N('APA Inputs'!$D$27))),'APA Inputs'!$J$27,0)+IF(N('APA Inputs'!$H$27)&gt;0,IF(H$4=EDATE('APA Inputs'!$C$27,'APA Inputs'!$H$27-1),N('APA Inputs'!$G$27),0),0))*IF('APA Inputs'!$I$27="",1,'APA Inputs'!$I$27))</f>
        <v>0</v>
      </c>
      <c r="I12" s="419" t="n">
        <f aca="false">IF('APA Inputs'!$C$27="",0,(IF(AND(I$4&gt;='APA Inputs'!$C$27,I$4&lt;EDATE('APA Inputs'!$C$27,N('APA Inputs'!$D$27))),'APA Inputs'!$J$27,0)+IF(N('APA Inputs'!$H$27)&gt;0,IF(I$4=EDATE('APA Inputs'!$C$27,'APA Inputs'!$H$27-1),N('APA Inputs'!$G$27),0),0))*IF('APA Inputs'!$I$27="",1,'APA Inputs'!$I$27))</f>
        <v>0</v>
      </c>
      <c r="J12" s="419" t="n">
        <f aca="false">IF('APA Inputs'!$C$27="",0,(IF(AND(J$4&gt;='APA Inputs'!$C$27,J$4&lt;EDATE('APA Inputs'!$C$27,N('APA Inputs'!$D$27))),'APA Inputs'!$J$27,0)+IF(N('APA Inputs'!$H$27)&gt;0,IF(J$4=EDATE('APA Inputs'!$C$27,'APA Inputs'!$H$27-1),N('APA Inputs'!$G$27),0),0))*IF('APA Inputs'!$I$27="",1,'APA Inputs'!$I$27))</f>
        <v>0</v>
      </c>
      <c r="K12" s="419" t="n">
        <f aca="false">IF('APA Inputs'!$C$27="",0,(IF(AND(K$4&gt;='APA Inputs'!$C$27,K$4&lt;EDATE('APA Inputs'!$C$27,N('APA Inputs'!$D$27))),'APA Inputs'!$J$27,0)+IF(N('APA Inputs'!$H$27)&gt;0,IF(K$4=EDATE('APA Inputs'!$C$27,'APA Inputs'!$H$27-1),N('APA Inputs'!$G$27),0),0))*IF('APA Inputs'!$I$27="",1,'APA Inputs'!$I$27))</f>
        <v>0</v>
      </c>
      <c r="L12" s="419" t="n">
        <f aca="false">IF('APA Inputs'!$C$27="",0,(IF(AND(L$4&gt;='APA Inputs'!$C$27,L$4&lt;EDATE('APA Inputs'!$C$27,N('APA Inputs'!$D$27))),'APA Inputs'!$J$27,0)+IF(N('APA Inputs'!$H$27)&gt;0,IF(L$4=EDATE('APA Inputs'!$C$27,'APA Inputs'!$H$27-1),N('APA Inputs'!$G$27),0),0))*IF('APA Inputs'!$I$27="",1,'APA Inputs'!$I$27))</f>
        <v>0</v>
      </c>
      <c r="M12" s="419" t="n">
        <f aca="false">IF('APA Inputs'!$C$27="",0,(IF(AND(M$4&gt;='APA Inputs'!$C$27,M$4&lt;EDATE('APA Inputs'!$C$27,N('APA Inputs'!$D$27))),'APA Inputs'!$J$27,0)+IF(N('APA Inputs'!$H$27)&gt;0,IF(M$4=EDATE('APA Inputs'!$C$27,'APA Inputs'!$H$27-1),N('APA Inputs'!$G$27),0),0))*IF('APA Inputs'!$I$27="",1,'APA Inputs'!$I$27))</f>
        <v>0</v>
      </c>
      <c r="N12" s="419" t="n">
        <f aca="false">IF('APA Inputs'!$C$27="",0,(IF(AND(N$4&gt;='APA Inputs'!$C$27,N$4&lt;EDATE('APA Inputs'!$C$27,N('APA Inputs'!$D$27))),'APA Inputs'!$J$27,0)+IF(N('APA Inputs'!$H$27)&gt;0,IF(N$4=EDATE('APA Inputs'!$C$27,'APA Inputs'!$H$27-1),N('APA Inputs'!$G$27),0),0))*IF('APA Inputs'!$I$27="",1,'APA Inputs'!$I$27))</f>
        <v>0</v>
      </c>
      <c r="O12" s="419" t="n">
        <f aca="false">IF('APA Inputs'!$C$27="",0,(IF(AND(O$4&gt;='APA Inputs'!$C$27,O$4&lt;EDATE('APA Inputs'!$C$27,N('APA Inputs'!$D$27))),'APA Inputs'!$J$27,0)+IF(N('APA Inputs'!$H$27)&gt;0,IF(O$4=EDATE('APA Inputs'!$C$27,'APA Inputs'!$H$27-1),N('APA Inputs'!$G$27),0),0))*IF('APA Inputs'!$I$27="",1,'APA Inputs'!$I$27))</f>
        <v>0</v>
      </c>
      <c r="P12" s="419" t="n">
        <f aca="false">IF('APA Inputs'!$C$27="",0,(IF(AND(P$4&gt;='APA Inputs'!$C$27,P$4&lt;EDATE('APA Inputs'!$C$27,N('APA Inputs'!$D$27))),'APA Inputs'!$J$27,0)+IF(N('APA Inputs'!$H$27)&gt;0,IF(P$4=EDATE('APA Inputs'!$C$27,'APA Inputs'!$H$27-1),N('APA Inputs'!$G$27),0),0))*IF('APA Inputs'!$I$27="",1,'APA Inputs'!$I$27))</f>
        <v>0</v>
      </c>
      <c r="Q12" s="419" t="n">
        <f aca="false">IF('APA Inputs'!$C$27="",0,(IF(AND(Q$4&gt;='APA Inputs'!$C$27,Q$4&lt;EDATE('APA Inputs'!$C$27,N('APA Inputs'!$D$27))),'APA Inputs'!$J$27,0)+IF(N('APA Inputs'!$H$27)&gt;0,IF(Q$4=EDATE('APA Inputs'!$C$27,'APA Inputs'!$H$27-1),N('APA Inputs'!$G$27),0),0))*IF('APA Inputs'!$I$27="",1,'APA Inputs'!$I$27))</f>
        <v>0</v>
      </c>
      <c r="R12" s="419" t="n">
        <f aca="false">IF('APA Inputs'!$C$27="",0,(IF(AND(R$4&gt;='APA Inputs'!$C$27,R$4&lt;EDATE('APA Inputs'!$C$27,N('APA Inputs'!$D$27))),'APA Inputs'!$J$27,0)+IF(N('APA Inputs'!$H$27)&gt;0,IF(R$4=EDATE('APA Inputs'!$C$27,'APA Inputs'!$H$27-1),N('APA Inputs'!$G$27),0),0))*IF('APA Inputs'!$I$27="",1,'APA Inputs'!$I$27))</f>
        <v>0</v>
      </c>
      <c r="S12" s="419" t="n">
        <f aca="false">IF('APA Inputs'!$C$27="",0,(IF(AND(S$4&gt;='APA Inputs'!$C$27,S$4&lt;EDATE('APA Inputs'!$C$27,N('APA Inputs'!$D$27))),'APA Inputs'!$J$27,0)+IF(N('APA Inputs'!$H$27)&gt;0,IF(S$4=EDATE('APA Inputs'!$C$27,'APA Inputs'!$H$27-1),N('APA Inputs'!$G$27),0),0))*IF('APA Inputs'!$I$27="",1,'APA Inputs'!$I$27))</f>
        <v>0</v>
      </c>
      <c r="T12" s="419" t="n">
        <f aca="false">IF('APA Inputs'!$C$27="",0,(IF(AND(T$4&gt;='APA Inputs'!$C$27,T$4&lt;EDATE('APA Inputs'!$C$27,N('APA Inputs'!$D$27))),'APA Inputs'!$J$27,0)+IF(N('APA Inputs'!$H$27)&gt;0,IF(T$4=EDATE('APA Inputs'!$C$27,'APA Inputs'!$H$27-1),N('APA Inputs'!$G$27),0),0))*IF('APA Inputs'!$I$27="",1,'APA Inputs'!$I$27))</f>
        <v>0</v>
      </c>
      <c r="U12" s="419" t="n">
        <f aca="false">IF('APA Inputs'!$C$27="",0,(IF(AND(U$4&gt;='APA Inputs'!$C$27,U$4&lt;EDATE('APA Inputs'!$C$27,N('APA Inputs'!$D$27))),'APA Inputs'!$J$27,0)+IF(N('APA Inputs'!$H$27)&gt;0,IF(U$4=EDATE('APA Inputs'!$C$27,'APA Inputs'!$H$27-1),N('APA Inputs'!$G$27),0),0))*IF('APA Inputs'!$I$27="",1,'APA Inputs'!$I$27))</f>
        <v>0</v>
      </c>
      <c r="V12" s="419" t="n">
        <f aca="false">IF('APA Inputs'!$C$27="",0,(IF(AND(V$4&gt;='APA Inputs'!$C$27,V$4&lt;EDATE('APA Inputs'!$C$27,N('APA Inputs'!$D$27))),'APA Inputs'!$J$27,0)+IF(N('APA Inputs'!$H$27)&gt;0,IF(V$4=EDATE('APA Inputs'!$C$27,'APA Inputs'!$H$27-1),N('APA Inputs'!$G$27),0),0))*IF('APA Inputs'!$I$27="",1,'APA Inputs'!$I$27))</f>
        <v>0</v>
      </c>
      <c r="W12" s="419" t="n">
        <f aca="false">IF('APA Inputs'!$C$27="",0,(IF(AND(W$4&gt;='APA Inputs'!$C$27,W$4&lt;EDATE('APA Inputs'!$C$27,N('APA Inputs'!$D$27))),'APA Inputs'!$J$27,0)+IF(N('APA Inputs'!$H$27)&gt;0,IF(W$4=EDATE('APA Inputs'!$C$27,'APA Inputs'!$H$27-1),N('APA Inputs'!$G$27),0),0))*IF('APA Inputs'!$I$27="",1,'APA Inputs'!$I$27))</f>
        <v>0</v>
      </c>
      <c r="X12" s="419" t="n">
        <f aca="false">IF('APA Inputs'!$C$27="",0,(IF(AND(X$4&gt;='APA Inputs'!$C$27,X$4&lt;EDATE('APA Inputs'!$C$27,N('APA Inputs'!$D$27))),'APA Inputs'!$J$27,0)+IF(N('APA Inputs'!$H$27)&gt;0,IF(X$4=EDATE('APA Inputs'!$C$27,'APA Inputs'!$H$27-1),N('APA Inputs'!$G$27),0),0))*IF('APA Inputs'!$I$27="",1,'APA Inputs'!$I$27))</f>
        <v>0</v>
      </c>
      <c r="Y12" s="419" t="n">
        <f aca="false">IF('APA Inputs'!$C$27="",0,(IF(AND(Y$4&gt;='APA Inputs'!$C$27,Y$4&lt;EDATE('APA Inputs'!$C$27,N('APA Inputs'!$D$27))),'APA Inputs'!$J$27,0)+IF(N('APA Inputs'!$H$27)&gt;0,IF(Y$4=EDATE('APA Inputs'!$C$27,'APA Inputs'!$H$27-1),N('APA Inputs'!$G$27),0),0))*IF('APA Inputs'!$I$27="",1,'APA Inputs'!$I$27))</f>
        <v>0</v>
      </c>
      <c r="Z12" s="419" t="n">
        <f aca="false">IF('APA Inputs'!$C$27="",0,(IF(AND(Z$4&gt;='APA Inputs'!$C$27,Z$4&lt;EDATE('APA Inputs'!$C$27,N('APA Inputs'!$D$27))),'APA Inputs'!$J$27,0)+IF(N('APA Inputs'!$H$27)&gt;0,IF(Z$4=EDATE('APA Inputs'!$C$27,'APA Inputs'!$H$27-1),N('APA Inputs'!$G$27),0),0))*IF('APA Inputs'!$I$27="",1,'APA Inputs'!$I$27))</f>
        <v>0</v>
      </c>
      <c r="AA12" s="419" t="n">
        <f aca="false">IF('APA Inputs'!$C$27="",0,(IF(AND(AA$4&gt;='APA Inputs'!$C$27,AA$4&lt;EDATE('APA Inputs'!$C$27,N('APA Inputs'!$D$27))),'APA Inputs'!$J$27,0)+IF(N('APA Inputs'!$H$27)&gt;0,IF(AA$4=EDATE('APA Inputs'!$C$27,'APA Inputs'!$H$27-1),N('APA Inputs'!$G$27),0),0))*IF('APA Inputs'!$I$27="",1,'APA Inputs'!$I$27))</f>
        <v>0</v>
      </c>
      <c r="AB12" s="419" t="n">
        <f aca="false">IF('APA Inputs'!$C$27="",0,(IF(AND(AB$4&gt;='APA Inputs'!$C$27,AB$4&lt;EDATE('APA Inputs'!$C$27,N('APA Inputs'!$D$27))),'APA Inputs'!$J$27,0)+IF(N('APA Inputs'!$H$27)&gt;0,IF(AB$4=EDATE('APA Inputs'!$C$27,'APA Inputs'!$H$27-1),N('APA Inputs'!$G$27),0),0))*IF('APA Inputs'!$I$27="",1,'APA Inputs'!$I$27))</f>
        <v>0</v>
      </c>
      <c r="AC12" s="419" t="n">
        <f aca="false">IF('APA Inputs'!$C$27="",0,(IF(AND(AC$4&gt;='APA Inputs'!$C$27,AC$4&lt;EDATE('APA Inputs'!$C$27,N('APA Inputs'!$D$27))),'APA Inputs'!$J$27,0)+IF(N('APA Inputs'!$H$27)&gt;0,IF(AC$4=EDATE('APA Inputs'!$C$27,'APA Inputs'!$H$27-1),N('APA Inputs'!$G$27),0),0))*IF('APA Inputs'!$I$27="",1,'APA Inputs'!$I$27))</f>
        <v>0</v>
      </c>
      <c r="AD12" s="419" t="n">
        <f aca="false">IF('APA Inputs'!$C$27="",0,(IF(AND(AD$4&gt;='APA Inputs'!$C$27,AD$4&lt;EDATE('APA Inputs'!$C$27,N('APA Inputs'!$D$27))),'APA Inputs'!$J$27,0)+IF(N('APA Inputs'!$H$27)&gt;0,IF(AD$4=EDATE('APA Inputs'!$C$27,'APA Inputs'!$H$27-1),N('APA Inputs'!$G$27),0),0))*IF('APA Inputs'!$I$27="",1,'APA Inputs'!$I$27))</f>
        <v>0</v>
      </c>
      <c r="AE12" s="419" t="n">
        <f aca="false">IF('APA Inputs'!$C$27="",0,(IF(AND(AE$4&gt;='APA Inputs'!$C$27,AE$4&lt;EDATE('APA Inputs'!$C$27,N('APA Inputs'!$D$27))),'APA Inputs'!$J$27,0)+IF(N('APA Inputs'!$H$27)&gt;0,IF(AE$4=EDATE('APA Inputs'!$C$27,'APA Inputs'!$H$27-1),N('APA Inputs'!$G$27),0),0))*IF('APA Inputs'!$I$27="",1,'APA Inputs'!$I$27))</f>
        <v>0</v>
      </c>
      <c r="AF12" s="419" t="n">
        <f aca="false">IF('APA Inputs'!$C$27="",0,(IF(AND(AF$4&gt;='APA Inputs'!$C$27,AF$4&lt;EDATE('APA Inputs'!$C$27,N('APA Inputs'!$D$27))),'APA Inputs'!$J$27,0)+IF(N('APA Inputs'!$H$27)&gt;0,IF(AF$4=EDATE('APA Inputs'!$C$27,'APA Inputs'!$H$27-1),N('APA Inputs'!$G$27),0),0))*IF('APA Inputs'!$I$27="",1,'APA Inputs'!$I$27))</f>
        <v>0</v>
      </c>
      <c r="AG12" s="419" t="n">
        <f aca="false">IF('APA Inputs'!$C$27="",0,(IF(AND(AG$4&gt;='APA Inputs'!$C$27,AG$4&lt;EDATE('APA Inputs'!$C$27,N('APA Inputs'!$D$27))),'APA Inputs'!$J$27,0)+IF(N('APA Inputs'!$H$27)&gt;0,IF(AG$4=EDATE('APA Inputs'!$C$27,'APA Inputs'!$H$27-1),N('APA Inputs'!$G$27),0),0))*IF('APA Inputs'!$I$27="",1,'APA Inputs'!$I$27))</f>
        <v>0</v>
      </c>
      <c r="AH12" s="419" t="n">
        <f aca="false">IF('APA Inputs'!$C$27="",0,(IF(AND(AH$4&gt;='APA Inputs'!$C$27,AH$4&lt;EDATE('APA Inputs'!$C$27,N('APA Inputs'!$D$27))),'APA Inputs'!$J$27,0)+IF(N('APA Inputs'!$H$27)&gt;0,IF(AH$4=EDATE('APA Inputs'!$C$27,'APA Inputs'!$H$27-1),N('APA Inputs'!$G$27),0),0))*IF('APA Inputs'!$I$27="",1,'APA Inputs'!$I$27))</f>
        <v>0</v>
      </c>
      <c r="AI12" s="419" t="n">
        <f aca="false">IF('APA Inputs'!$C$27="",0,(IF(AND(AI$4&gt;='APA Inputs'!$C$27,AI$4&lt;EDATE('APA Inputs'!$C$27,N('APA Inputs'!$D$27))),'APA Inputs'!$J$27,0)+IF(N('APA Inputs'!$H$27)&gt;0,IF(AI$4=EDATE('APA Inputs'!$C$27,'APA Inputs'!$H$27-1),N('APA Inputs'!$G$27),0),0))*IF('APA Inputs'!$I$27="",1,'APA Inputs'!$I$27))</f>
        <v>0</v>
      </c>
      <c r="AJ12" s="419" t="n">
        <f aca="false">IF('APA Inputs'!$C$27="",0,(IF(AND(AJ$4&gt;='APA Inputs'!$C$27,AJ$4&lt;EDATE('APA Inputs'!$C$27,N('APA Inputs'!$D$27))),'APA Inputs'!$J$27,0)+IF(N('APA Inputs'!$H$27)&gt;0,IF(AJ$4=EDATE('APA Inputs'!$C$27,'APA Inputs'!$H$27-1),N('APA Inputs'!$G$27),0),0))*IF('APA Inputs'!$I$27="",1,'APA Inputs'!$I$27))</f>
        <v>0</v>
      </c>
      <c r="AK12" s="419" t="n">
        <f aca="false">IF('APA Inputs'!$C$27="",0,(IF(AND(AK$4&gt;='APA Inputs'!$C$27,AK$4&lt;EDATE('APA Inputs'!$C$27,N('APA Inputs'!$D$27))),'APA Inputs'!$J$27,0)+IF(N('APA Inputs'!$H$27)&gt;0,IF(AK$4=EDATE('APA Inputs'!$C$27,'APA Inputs'!$H$27-1),N('APA Inputs'!$G$27),0),0))*IF('APA Inputs'!$I$27="",1,'APA Inputs'!$I$27))</f>
        <v>0</v>
      </c>
      <c r="AL12" s="419" t="n">
        <f aca="false">IF('APA Inputs'!$C$27="",0,(IF(AND(AL$4&gt;='APA Inputs'!$C$27,AL$4&lt;EDATE('APA Inputs'!$C$27,N('APA Inputs'!$D$27))),'APA Inputs'!$J$27,0)+IF(N('APA Inputs'!$H$27)&gt;0,IF(AL$4=EDATE('APA Inputs'!$C$27,'APA Inputs'!$H$27-1),N('APA Inputs'!$G$27),0),0))*IF('APA Inputs'!$I$27="",1,'APA Inputs'!$I$27))</f>
        <v>0</v>
      </c>
      <c r="AM12" s="419" t="n">
        <f aca="false">IF('APA Inputs'!$C$27="",0,(IF(AND(AM$4&gt;='APA Inputs'!$C$27,AM$4&lt;EDATE('APA Inputs'!$C$27,N('APA Inputs'!$D$27))),'APA Inputs'!$J$27,0)+IF(N('APA Inputs'!$H$27)&gt;0,IF(AM$4=EDATE('APA Inputs'!$C$27,'APA Inputs'!$H$27-1),N('APA Inputs'!$G$27),0),0))*IF('APA Inputs'!$I$27="",1,'APA Inputs'!$I$27))</f>
        <v>0</v>
      </c>
      <c r="AN12" s="419" t="n">
        <f aca="false">IF('APA Inputs'!$C$27="",0,(IF(AND(AN$4&gt;='APA Inputs'!$C$27,AN$4&lt;EDATE('APA Inputs'!$C$27,N('APA Inputs'!$D$27))),'APA Inputs'!$J$27,0)+IF(N('APA Inputs'!$H$27)&gt;0,IF(AN$4=EDATE('APA Inputs'!$C$27,'APA Inputs'!$H$27-1),N('APA Inputs'!$G$27),0),0))*IF('APA Inputs'!$I$27="",1,'APA Inputs'!$I$27))</f>
        <v>0</v>
      </c>
      <c r="AO12" s="419" t="n">
        <f aca="false">IF('APA Inputs'!$C$27="",0,(IF(AND(AO$4&gt;='APA Inputs'!$C$27,AO$4&lt;EDATE('APA Inputs'!$C$27,N('APA Inputs'!$D$27))),'APA Inputs'!$J$27,0)+IF(N('APA Inputs'!$H$27)&gt;0,IF(AO$4=EDATE('APA Inputs'!$C$27,'APA Inputs'!$H$27-1),N('APA Inputs'!$G$27),0),0))*IF('APA Inputs'!$I$27="",1,'APA Inputs'!$I$27))</f>
        <v>0</v>
      </c>
      <c r="AP12" s="419" t="n">
        <f aca="false">IF('APA Inputs'!$C$27="",0,(IF(AND(AP$4&gt;='APA Inputs'!$C$27,AP$4&lt;EDATE('APA Inputs'!$C$27,N('APA Inputs'!$D$27))),'APA Inputs'!$J$27,0)+IF(N('APA Inputs'!$H$27)&gt;0,IF(AP$4=EDATE('APA Inputs'!$C$27,'APA Inputs'!$H$27-1),N('APA Inputs'!$G$27),0),0))*IF('APA Inputs'!$I$27="",1,'APA Inputs'!$I$27))</f>
        <v>0</v>
      </c>
      <c r="AQ12" s="419" t="n">
        <f aca="false">IF('APA Inputs'!$C$27="",0,(IF(AND(AQ$4&gt;='APA Inputs'!$C$27,AQ$4&lt;EDATE('APA Inputs'!$C$27,N('APA Inputs'!$D$27))),'APA Inputs'!$J$27,0)+IF(N('APA Inputs'!$H$27)&gt;0,IF(AQ$4=EDATE('APA Inputs'!$C$27,'APA Inputs'!$H$27-1),N('APA Inputs'!$G$27),0),0))*IF('APA Inputs'!$I$27="",1,'APA Inputs'!$I$27))</f>
        <v>0</v>
      </c>
      <c r="AR12" s="419" t="n">
        <f aca="false">IF('APA Inputs'!$C$27="",0,(IF(AND(AR$4&gt;='APA Inputs'!$C$27,AR$4&lt;EDATE('APA Inputs'!$C$27,N('APA Inputs'!$D$27))),'APA Inputs'!$J$27,0)+IF(N('APA Inputs'!$H$27)&gt;0,IF(AR$4=EDATE('APA Inputs'!$C$27,'APA Inputs'!$H$27-1),N('APA Inputs'!$G$27),0),0))*IF('APA Inputs'!$I$27="",1,'APA Inputs'!$I$27))</f>
        <v>0</v>
      </c>
      <c r="AS12" s="419" t="n">
        <f aca="false">IF('APA Inputs'!$C$27="",0,(IF(AND(AS$4&gt;='APA Inputs'!$C$27,AS$4&lt;EDATE('APA Inputs'!$C$27,N('APA Inputs'!$D$27))),'APA Inputs'!$J$27,0)+IF(N('APA Inputs'!$H$27)&gt;0,IF(AS$4=EDATE('APA Inputs'!$C$27,'APA Inputs'!$H$27-1),N('APA Inputs'!$G$27),0),0))*IF('APA Inputs'!$I$27="",1,'APA Inputs'!$I$27))</f>
        <v>0</v>
      </c>
      <c r="AT12" s="419" t="n">
        <f aca="false">IF('APA Inputs'!$C$27="",0,(IF(AND(AT$4&gt;='APA Inputs'!$C$27,AT$4&lt;EDATE('APA Inputs'!$C$27,N('APA Inputs'!$D$27))),'APA Inputs'!$J$27,0)+IF(N('APA Inputs'!$H$27)&gt;0,IF(AT$4=EDATE('APA Inputs'!$C$27,'APA Inputs'!$H$27-1),N('APA Inputs'!$G$27),0),0))*IF('APA Inputs'!$I$27="",1,'APA Inputs'!$I$27))</f>
        <v>0</v>
      </c>
      <c r="AU12" s="419" t="n">
        <f aca="false">IF('APA Inputs'!$C$27="",0,(IF(AND(AU$4&gt;='APA Inputs'!$C$27,AU$4&lt;EDATE('APA Inputs'!$C$27,N('APA Inputs'!$D$27))),'APA Inputs'!$J$27,0)+IF(N('APA Inputs'!$H$27)&gt;0,IF(AU$4=EDATE('APA Inputs'!$C$27,'APA Inputs'!$H$27-1),N('APA Inputs'!$G$27),0),0))*IF('APA Inputs'!$I$27="",1,'APA Inputs'!$I$27))</f>
        <v>0</v>
      </c>
      <c r="AV12" s="419" t="n">
        <f aca="false">IF('APA Inputs'!$C$27="",0,(IF(AND(AV$4&gt;='APA Inputs'!$C$27,AV$4&lt;EDATE('APA Inputs'!$C$27,N('APA Inputs'!$D$27))),'APA Inputs'!$J$27,0)+IF(N('APA Inputs'!$H$27)&gt;0,IF(AV$4=EDATE('APA Inputs'!$C$27,'APA Inputs'!$H$27-1),N('APA Inputs'!$G$27),0),0))*IF('APA Inputs'!$I$27="",1,'APA Inputs'!$I$27))</f>
        <v>0</v>
      </c>
      <c r="AW12" s="419" t="n">
        <f aca="false">IF('APA Inputs'!$C$27="",0,(IF(AND(AW$4&gt;='APA Inputs'!$C$27,AW$4&lt;EDATE('APA Inputs'!$C$27,N('APA Inputs'!$D$27))),'APA Inputs'!$J$27,0)+IF(N('APA Inputs'!$H$27)&gt;0,IF(AW$4=EDATE('APA Inputs'!$C$27,'APA Inputs'!$H$27-1),N('APA Inputs'!$G$27),0),0))*IF('APA Inputs'!$I$27="",1,'APA Inputs'!$I$27))</f>
        <v>0</v>
      </c>
      <c r="AX12" s="419" t="n">
        <f aca="false">IF('APA Inputs'!$C$27="",0,(IF(AND(AX$4&gt;='APA Inputs'!$C$27,AX$4&lt;EDATE('APA Inputs'!$C$27,N('APA Inputs'!$D$27))),'APA Inputs'!$J$27,0)+IF(N('APA Inputs'!$H$27)&gt;0,IF(AX$4=EDATE('APA Inputs'!$C$27,'APA Inputs'!$H$27-1),N('APA Inputs'!$G$27),0),0))*IF('APA Inputs'!$I$27="",1,'APA Inputs'!$I$27))</f>
        <v>0</v>
      </c>
      <c r="AY12" s="419" t="n">
        <f aca="false">IF('APA Inputs'!$C$27="",0,(IF(AND(AY$4&gt;='APA Inputs'!$C$27,AY$4&lt;EDATE('APA Inputs'!$C$27,N('APA Inputs'!$D$27))),'APA Inputs'!$J$27,0)+IF(N('APA Inputs'!$H$27)&gt;0,IF(AY$4=EDATE('APA Inputs'!$C$27,'APA Inputs'!$H$27-1),N('APA Inputs'!$G$27),0),0))*IF('APA Inputs'!$I$27="",1,'APA Inputs'!$I$27))</f>
        <v>0</v>
      </c>
      <c r="AZ12" s="419" t="n">
        <f aca="false">IF('APA Inputs'!$C$27="",0,(IF(AND(AZ$4&gt;='APA Inputs'!$C$27,AZ$4&lt;EDATE('APA Inputs'!$C$27,N('APA Inputs'!$D$27))),'APA Inputs'!$J$27,0)+IF(N('APA Inputs'!$H$27)&gt;0,IF(AZ$4=EDATE('APA Inputs'!$C$27,'APA Inputs'!$H$27-1),N('APA Inputs'!$G$27),0),0))*IF('APA Inputs'!$I$27="",1,'APA Inputs'!$I$27))</f>
        <v>0</v>
      </c>
      <c r="BA12" s="419" t="n">
        <f aca="false">IF('APA Inputs'!$C$27="",0,(IF(AND(BA$4&gt;='APA Inputs'!$C$27,BA$4&lt;EDATE('APA Inputs'!$C$27,N('APA Inputs'!$D$27))),'APA Inputs'!$J$27,0)+IF(N('APA Inputs'!$H$27)&gt;0,IF(BA$4=EDATE('APA Inputs'!$C$27,'APA Inputs'!$H$27-1),N('APA Inputs'!$G$27),0),0))*IF('APA Inputs'!$I$27="",1,'APA Inputs'!$I$27))</f>
        <v>0</v>
      </c>
      <c r="BB12" s="419" t="n">
        <f aca="false">IF('APA Inputs'!$C$27="",0,(IF(AND(BB$4&gt;='APA Inputs'!$C$27,BB$4&lt;EDATE('APA Inputs'!$C$27,N('APA Inputs'!$D$27))),'APA Inputs'!$J$27,0)+IF(N('APA Inputs'!$H$27)&gt;0,IF(BB$4=EDATE('APA Inputs'!$C$27,'APA Inputs'!$H$27-1),N('APA Inputs'!$G$27),0),0))*IF('APA Inputs'!$I$27="",1,'APA Inputs'!$I$27))</f>
        <v>0</v>
      </c>
      <c r="BC12" s="419" t="n">
        <f aca="false">IF('APA Inputs'!$C$27="",0,(IF(AND(BC$4&gt;='APA Inputs'!$C$27,BC$4&lt;EDATE('APA Inputs'!$C$27,N('APA Inputs'!$D$27))),'APA Inputs'!$J$27,0)+IF(N('APA Inputs'!$H$27)&gt;0,IF(BC$4=EDATE('APA Inputs'!$C$27,'APA Inputs'!$H$27-1),N('APA Inputs'!$G$27),0),0))*IF('APA Inputs'!$I$27="",1,'APA Inputs'!$I$27))</f>
        <v>0</v>
      </c>
      <c r="BD12" s="419" t="n">
        <f aca="false">IF('APA Inputs'!$C$27="",0,(IF(AND(BD$4&gt;='APA Inputs'!$C$27,BD$4&lt;EDATE('APA Inputs'!$C$27,N('APA Inputs'!$D$27))),'APA Inputs'!$J$27,0)+IF(N('APA Inputs'!$H$27)&gt;0,IF(BD$4=EDATE('APA Inputs'!$C$27,'APA Inputs'!$H$27-1),N('APA Inputs'!$G$27),0),0))*IF('APA Inputs'!$I$27="",1,'APA Inputs'!$I$27))</f>
        <v>0</v>
      </c>
      <c r="BE12" s="419" t="n">
        <f aca="false">IF('APA Inputs'!$C$27="",0,(IF(AND(BE$4&gt;='APA Inputs'!$C$27,BE$4&lt;EDATE('APA Inputs'!$C$27,N('APA Inputs'!$D$27))),'APA Inputs'!$J$27,0)+IF(N('APA Inputs'!$H$27)&gt;0,IF(BE$4=EDATE('APA Inputs'!$C$27,'APA Inputs'!$H$27-1),N('APA Inputs'!$G$27),0),0))*IF('APA Inputs'!$I$27="",1,'APA Inputs'!$I$27))</f>
        <v>0</v>
      </c>
      <c r="BF12" s="419" t="n">
        <f aca="false">IF('APA Inputs'!$C$27="",0,(IF(AND(BF$4&gt;='APA Inputs'!$C$27,BF$4&lt;EDATE('APA Inputs'!$C$27,N('APA Inputs'!$D$27))),'APA Inputs'!$J$27,0)+IF(N('APA Inputs'!$H$27)&gt;0,IF(BF$4=EDATE('APA Inputs'!$C$27,'APA Inputs'!$H$27-1),N('APA Inputs'!$G$27),0),0))*IF('APA Inputs'!$I$27="",1,'APA Inputs'!$I$27))</f>
        <v>0</v>
      </c>
      <c r="BG12" s="419" t="n">
        <f aca="false">IF('APA Inputs'!$C$27="",0,(IF(AND(BG$4&gt;='APA Inputs'!$C$27,BG$4&lt;EDATE('APA Inputs'!$C$27,N('APA Inputs'!$D$27))),'APA Inputs'!$J$27,0)+IF(N('APA Inputs'!$H$27)&gt;0,IF(BG$4=EDATE('APA Inputs'!$C$27,'APA Inputs'!$H$27-1),N('APA Inputs'!$G$27),0),0))*IF('APA Inputs'!$I$27="",1,'APA Inputs'!$I$27))</f>
        <v>0</v>
      </c>
      <c r="BH12" s="419" t="n">
        <f aca="false">IF('APA Inputs'!$C$27="",0,(IF(AND(BH$4&gt;='APA Inputs'!$C$27,BH$4&lt;EDATE('APA Inputs'!$C$27,N('APA Inputs'!$D$27))),'APA Inputs'!$J$27,0)+IF(N('APA Inputs'!$H$27)&gt;0,IF(BH$4=EDATE('APA Inputs'!$C$27,'APA Inputs'!$H$27-1),N('APA Inputs'!$G$27),0),0))*IF('APA Inputs'!$I$27="",1,'APA Inputs'!$I$27))</f>
        <v>0</v>
      </c>
      <c r="BI12" s="419" t="n">
        <f aca="false">IF('APA Inputs'!$C$27="",0,(IF(AND(BI$4&gt;='APA Inputs'!$C$27,BI$4&lt;EDATE('APA Inputs'!$C$27,N('APA Inputs'!$D$27))),'APA Inputs'!$J$27,0)+IF(N('APA Inputs'!$H$27)&gt;0,IF(BI$4=EDATE('APA Inputs'!$C$27,'APA Inputs'!$H$27-1),N('APA Inputs'!$G$27),0),0))*IF('APA Inputs'!$I$27="",1,'APA Inputs'!$I$27))</f>
        <v>0</v>
      </c>
      <c r="BJ12" s="419" t="n">
        <f aca="false">IF('APA Inputs'!$C$27="",0,(IF(AND(BJ$4&gt;='APA Inputs'!$C$27,BJ$4&lt;EDATE('APA Inputs'!$C$27,N('APA Inputs'!$D$27))),'APA Inputs'!$J$27,0)+IF(N('APA Inputs'!$H$27)&gt;0,IF(BJ$4=EDATE('APA Inputs'!$C$27,'APA Inputs'!$H$27-1),N('APA Inputs'!$G$27),0),0))*IF('APA Inputs'!$I$27="",1,'APA Inputs'!$I$27))</f>
        <v>0</v>
      </c>
      <c r="BK12" s="419" t="n">
        <f aca="false">IF('APA Inputs'!$C$27="",0,(IF(AND(BK$4&gt;='APA Inputs'!$C$27,BK$4&lt;EDATE('APA Inputs'!$C$27,N('APA Inputs'!$D$27))),'APA Inputs'!$J$27,0)+IF(N('APA Inputs'!$H$27)&gt;0,IF(BK$4=EDATE('APA Inputs'!$C$27,'APA Inputs'!$H$27-1),N('APA Inputs'!$G$27),0),0))*IF('APA Inputs'!$I$27="",1,'APA Inputs'!$I$27))</f>
        <v>0</v>
      </c>
      <c r="BL12" s="419" t="n">
        <f aca="false">IF('APA Inputs'!$C$27="",0,(IF(AND(BL$4&gt;='APA Inputs'!$C$27,BL$4&lt;EDATE('APA Inputs'!$C$27,N('APA Inputs'!$D$27))),'APA Inputs'!$J$27,0)+IF(N('APA Inputs'!$H$27)&gt;0,IF(BL$4=EDATE('APA Inputs'!$C$27,'APA Inputs'!$H$27-1),N('APA Inputs'!$G$27),0),0))*IF('APA Inputs'!$I$27="",1,'APA Inputs'!$I$27))</f>
        <v>0</v>
      </c>
      <c r="BM12" s="419" t="n">
        <f aca="false">IF('APA Inputs'!$C$27="",0,(IF(AND(BM$4&gt;='APA Inputs'!$C$27,BM$4&lt;EDATE('APA Inputs'!$C$27,N('APA Inputs'!$D$27))),'APA Inputs'!$J$27,0)+IF(N('APA Inputs'!$H$27)&gt;0,IF(BM$4=EDATE('APA Inputs'!$C$27,'APA Inputs'!$H$27-1),N('APA Inputs'!$G$27),0),0))*IF('APA Inputs'!$I$27="",1,'APA Inputs'!$I$27))</f>
        <v>0</v>
      </c>
      <c r="BN12" s="419" t="n">
        <f aca="false">IF('APA Inputs'!$C$27="",0,(IF(AND(BN$4&gt;='APA Inputs'!$C$27,BN$4&lt;EDATE('APA Inputs'!$C$27,N('APA Inputs'!$D$27))),'APA Inputs'!$J$27,0)+IF(N('APA Inputs'!$H$27)&gt;0,IF(BN$4=EDATE('APA Inputs'!$C$27,'APA Inputs'!$H$27-1),N('APA Inputs'!$G$27),0),0))*IF('APA Inputs'!$I$27="",1,'APA Inputs'!$I$27))</f>
        <v>0</v>
      </c>
      <c r="BO12" s="419" t="n">
        <f aca="false">IF('APA Inputs'!$C$27="",0,(IF(AND(BO$4&gt;='APA Inputs'!$C$27,BO$4&lt;EDATE('APA Inputs'!$C$27,N('APA Inputs'!$D$27))),'APA Inputs'!$J$27,0)+IF(N('APA Inputs'!$H$27)&gt;0,IF(BO$4=EDATE('APA Inputs'!$C$27,'APA Inputs'!$H$27-1),N('APA Inputs'!$G$27),0),0))*IF('APA Inputs'!$I$27="",1,'APA Inputs'!$I$27))</f>
        <v>0</v>
      </c>
      <c r="BP12" s="419" t="n">
        <f aca="false">IF('APA Inputs'!$C$27="",0,(IF(AND(BP$4&gt;='APA Inputs'!$C$27,BP$4&lt;EDATE('APA Inputs'!$C$27,N('APA Inputs'!$D$27))),'APA Inputs'!$J$27,0)+IF(N('APA Inputs'!$H$27)&gt;0,IF(BP$4=EDATE('APA Inputs'!$C$27,'APA Inputs'!$H$27-1),N('APA Inputs'!$G$27),0),0))*IF('APA Inputs'!$I$27="",1,'APA Inputs'!$I$27))</f>
        <v>0</v>
      </c>
      <c r="BQ12" s="419" t="n">
        <f aca="false">IF('APA Inputs'!$C$27="",0,(IF(AND(BQ$4&gt;='APA Inputs'!$C$27,BQ$4&lt;EDATE('APA Inputs'!$C$27,N('APA Inputs'!$D$27))),'APA Inputs'!$J$27,0)+IF(N('APA Inputs'!$H$27)&gt;0,IF(BQ$4=EDATE('APA Inputs'!$C$27,'APA Inputs'!$H$27-1),N('APA Inputs'!$G$27),0),0))*IF('APA Inputs'!$I$27="",1,'APA Inputs'!$I$27))</f>
        <v>0</v>
      </c>
      <c r="BR12" s="419" t="n">
        <f aca="false">IF('APA Inputs'!$C$27="",0,(IF(AND(BR$4&gt;='APA Inputs'!$C$27,BR$4&lt;EDATE('APA Inputs'!$C$27,N('APA Inputs'!$D$27))),'APA Inputs'!$J$27,0)+IF(N('APA Inputs'!$H$27)&gt;0,IF(BR$4=EDATE('APA Inputs'!$C$27,'APA Inputs'!$H$27-1),N('APA Inputs'!$G$27),0),0))*IF('APA Inputs'!$I$27="",1,'APA Inputs'!$I$27))</f>
        <v>0</v>
      </c>
      <c r="BS12" s="419" t="n">
        <f aca="false">IF('APA Inputs'!$C$27="",0,(IF(AND(BS$4&gt;='APA Inputs'!$C$27,BS$4&lt;EDATE('APA Inputs'!$C$27,N('APA Inputs'!$D$27))),'APA Inputs'!$J$27,0)+IF(N('APA Inputs'!$H$27)&gt;0,IF(BS$4=EDATE('APA Inputs'!$C$27,'APA Inputs'!$H$27-1),N('APA Inputs'!$G$27),0),0))*IF('APA Inputs'!$I$27="",1,'APA Inputs'!$I$27))</f>
        <v>0</v>
      </c>
      <c r="BT12" s="419" t="n">
        <f aca="false">IF('APA Inputs'!$C$27="",0,(IF(AND(BT$4&gt;='APA Inputs'!$C$27,BT$4&lt;EDATE('APA Inputs'!$C$27,N('APA Inputs'!$D$27))),'APA Inputs'!$J$27,0)+IF(N('APA Inputs'!$H$27)&gt;0,IF(BT$4=EDATE('APA Inputs'!$C$27,'APA Inputs'!$H$27-1),N('APA Inputs'!$G$27),0),0))*IF('APA Inputs'!$I$27="",1,'APA Inputs'!$I$27))</f>
        <v>0</v>
      </c>
      <c r="BU12" s="419" t="n">
        <f aca="false">IF('APA Inputs'!$C$27="",0,(IF(AND(BU$4&gt;='APA Inputs'!$C$27,BU$4&lt;EDATE('APA Inputs'!$C$27,N('APA Inputs'!$D$27))),'APA Inputs'!$J$27,0)+IF(N('APA Inputs'!$H$27)&gt;0,IF(BU$4=EDATE('APA Inputs'!$C$27,'APA Inputs'!$H$27-1),N('APA Inputs'!$G$27),0),0))*IF('APA Inputs'!$I$27="",1,'APA Inputs'!$I$27))</f>
        <v>0</v>
      </c>
      <c r="BV12" s="419" t="n">
        <f aca="false">IF('APA Inputs'!$C$27="",0,(IF(AND(BV$4&gt;='APA Inputs'!$C$27,BV$4&lt;EDATE('APA Inputs'!$C$27,N('APA Inputs'!$D$27))),'APA Inputs'!$J$27,0)+IF(N('APA Inputs'!$H$27)&gt;0,IF(BV$4=EDATE('APA Inputs'!$C$27,'APA Inputs'!$H$27-1),N('APA Inputs'!$G$27),0),0))*IF('APA Inputs'!$I$27="",1,'APA Inputs'!$I$27))</f>
        <v>0</v>
      </c>
      <c r="BW12" s="419" t="n">
        <f aca="false">IF('APA Inputs'!$C$27="",0,(IF(AND(BW$4&gt;='APA Inputs'!$C$27,BW$4&lt;EDATE('APA Inputs'!$C$27,N('APA Inputs'!$D$27))),'APA Inputs'!$J$27,0)+IF(N('APA Inputs'!$H$27)&gt;0,IF(BW$4=EDATE('APA Inputs'!$C$27,'APA Inputs'!$H$27-1),N('APA Inputs'!$G$27),0),0))*IF('APA Inputs'!$I$27="",1,'APA Inputs'!$I$27))</f>
        <v>0</v>
      </c>
      <c r="BX12" s="419" t="n">
        <f aca="false">IF('APA Inputs'!$C$27="",0,(IF(AND(BX$4&gt;='APA Inputs'!$C$27,BX$4&lt;EDATE('APA Inputs'!$C$27,N('APA Inputs'!$D$27))),'APA Inputs'!$J$27,0)+IF(N('APA Inputs'!$H$27)&gt;0,IF(BX$4=EDATE('APA Inputs'!$C$27,'APA Inputs'!$H$27-1),N('APA Inputs'!$G$27),0),0))*IF('APA Inputs'!$I$27="",1,'APA Inputs'!$I$27))</f>
        <v>0</v>
      </c>
      <c r="BY12" s="419" t="n">
        <f aca="false">IF('APA Inputs'!$C$27="",0,(IF(AND(BY$4&gt;='APA Inputs'!$C$27,BY$4&lt;EDATE('APA Inputs'!$C$27,N('APA Inputs'!$D$27))),'APA Inputs'!$J$27,0)+IF(N('APA Inputs'!$H$27)&gt;0,IF(BY$4=EDATE('APA Inputs'!$C$27,'APA Inputs'!$H$27-1),N('APA Inputs'!$G$27),0),0))*IF('APA Inputs'!$I$27="",1,'APA Inputs'!$I$27))</f>
        <v>0</v>
      </c>
      <c r="BZ12" s="419" t="n">
        <f aca="false">IF('APA Inputs'!$C$27="",0,(IF(AND(BZ$4&gt;='APA Inputs'!$C$27,BZ$4&lt;EDATE('APA Inputs'!$C$27,N('APA Inputs'!$D$27))),'APA Inputs'!$J$27,0)+IF(N('APA Inputs'!$H$27)&gt;0,IF(BZ$4=EDATE('APA Inputs'!$C$27,'APA Inputs'!$H$27-1),N('APA Inputs'!$G$27),0),0))*IF('APA Inputs'!$I$27="",1,'APA Inputs'!$I$27))</f>
        <v>0</v>
      </c>
      <c r="CA12" s="419" t="n">
        <f aca="false">IF('APA Inputs'!$C$27="",0,(IF(AND(CA$4&gt;='APA Inputs'!$C$27,CA$4&lt;EDATE('APA Inputs'!$C$27,N('APA Inputs'!$D$27))),'APA Inputs'!$J$27,0)+IF(N('APA Inputs'!$H$27)&gt;0,IF(CA$4=EDATE('APA Inputs'!$C$27,'APA Inputs'!$H$27-1),N('APA Inputs'!$G$27),0),0))*IF('APA Inputs'!$I$27="",1,'APA Inputs'!$I$27))</f>
        <v>0</v>
      </c>
      <c r="CB12" s="419" t="n">
        <f aca="false">IF('APA Inputs'!$C$27="",0,(IF(AND(CB$4&gt;='APA Inputs'!$C$27,CB$4&lt;EDATE('APA Inputs'!$C$27,N('APA Inputs'!$D$27))),'APA Inputs'!$J$27,0)+IF(N('APA Inputs'!$H$27)&gt;0,IF(CB$4=EDATE('APA Inputs'!$C$27,'APA Inputs'!$H$27-1),N('APA Inputs'!$G$27),0),0))*IF('APA Inputs'!$I$27="",1,'APA Inputs'!$I$27))</f>
        <v>0</v>
      </c>
      <c r="CC12" s="419" t="n">
        <f aca="false">IF('APA Inputs'!$C$27="",0,(IF(AND(CC$4&gt;='APA Inputs'!$C$27,CC$4&lt;EDATE('APA Inputs'!$C$27,N('APA Inputs'!$D$27))),'APA Inputs'!$J$27,0)+IF(N('APA Inputs'!$H$27)&gt;0,IF(CC$4=EDATE('APA Inputs'!$C$27,'APA Inputs'!$H$27-1),N('APA Inputs'!$G$27),0),0))*IF('APA Inputs'!$I$27="",1,'APA Inputs'!$I$27))</f>
        <v>0</v>
      </c>
      <c r="CD12" s="419" t="n">
        <f aca="false">IF('APA Inputs'!$C$27="",0,(IF(AND(CD$4&gt;='APA Inputs'!$C$27,CD$4&lt;EDATE('APA Inputs'!$C$27,N('APA Inputs'!$D$27))),'APA Inputs'!$J$27,0)+IF(N('APA Inputs'!$H$27)&gt;0,IF(CD$4=EDATE('APA Inputs'!$C$27,'APA Inputs'!$H$27-1),N('APA Inputs'!$G$27),0),0))*IF('APA Inputs'!$I$27="",1,'APA Inputs'!$I$27))</f>
        <v>0</v>
      </c>
      <c r="CE12" s="419" t="n">
        <f aca="false">IF('APA Inputs'!$C$27="",0,(IF(AND(CE$4&gt;='APA Inputs'!$C$27,CE$4&lt;EDATE('APA Inputs'!$C$27,N('APA Inputs'!$D$27))),'APA Inputs'!$J$27,0)+IF(N('APA Inputs'!$H$27)&gt;0,IF(CE$4=EDATE('APA Inputs'!$C$27,'APA Inputs'!$H$27-1),N('APA Inputs'!$G$27),0),0))*IF('APA Inputs'!$I$27="",1,'APA Inputs'!$I$27))</f>
        <v>0</v>
      </c>
      <c r="CF12" s="419" t="n">
        <f aca="false">IF('APA Inputs'!$C$27="",0,(IF(AND(CF$4&gt;='APA Inputs'!$C$27,CF$4&lt;EDATE('APA Inputs'!$C$27,N('APA Inputs'!$D$27))),'APA Inputs'!$J$27,0)+IF(N('APA Inputs'!$H$27)&gt;0,IF(CF$4=EDATE('APA Inputs'!$C$27,'APA Inputs'!$H$27-1),N('APA Inputs'!$G$27),0),0))*IF('APA Inputs'!$I$27="",1,'APA Inputs'!$I$27))</f>
        <v>0</v>
      </c>
      <c r="CG12" s="419" t="n">
        <f aca="false">IF('APA Inputs'!$C$27="",0,(IF(AND(CG$4&gt;='APA Inputs'!$C$27,CG$4&lt;EDATE('APA Inputs'!$C$27,N('APA Inputs'!$D$27))),'APA Inputs'!$J$27,0)+IF(N('APA Inputs'!$H$27)&gt;0,IF(CG$4=EDATE('APA Inputs'!$C$27,'APA Inputs'!$H$27-1),N('APA Inputs'!$G$27),0),0))*IF('APA Inputs'!$I$27="",1,'APA Inputs'!$I$27))</f>
        <v>0</v>
      </c>
      <c r="CH12" s="419" t="n">
        <f aca="false">IF('APA Inputs'!$C$27="",0,(IF(AND(CH$4&gt;='APA Inputs'!$C$27,CH$4&lt;EDATE('APA Inputs'!$C$27,N('APA Inputs'!$D$27))),'APA Inputs'!$J$27,0)+IF(N('APA Inputs'!$H$27)&gt;0,IF(CH$4=EDATE('APA Inputs'!$C$27,'APA Inputs'!$H$27-1),N('APA Inputs'!$G$27),0),0))*IF('APA Inputs'!$I$27="",1,'APA Inputs'!$I$27))</f>
        <v>0</v>
      </c>
      <c r="CI12" s="419" t="n">
        <f aca="false">IF('APA Inputs'!$C$27="",0,(IF(AND(CI$4&gt;='APA Inputs'!$C$27,CI$4&lt;EDATE('APA Inputs'!$C$27,N('APA Inputs'!$D$27))),'APA Inputs'!$J$27,0)+IF(N('APA Inputs'!$H$27)&gt;0,IF(CI$4=EDATE('APA Inputs'!$C$27,'APA Inputs'!$H$27-1),N('APA Inputs'!$G$27),0),0))*IF('APA Inputs'!$I$27="",1,'APA Inputs'!$I$27))</f>
        <v>0</v>
      </c>
      <c r="CJ12" s="419" t="n">
        <f aca="false">IF('APA Inputs'!$C$27="",0,(IF(AND(CJ$4&gt;='APA Inputs'!$C$27,CJ$4&lt;EDATE('APA Inputs'!$C$27,N('APA Inputs'!$D$27))),'APA Inputs'!$J$27,0)+IF(N('APA Inputs'!$H$27)&gt;0,IF(CJ$4=EDATE('APA Inputs'!$C$27,'APA Inputs'!$H$27-1),N('APA Inputs'!$G$27),0),0))*IF('APA Inputs'!$I$27="",1,'APA Inputs'!$I$27))</f>
        <v>0</v>
      </c>
      <c r="CK12" s="419" t="n">
        <f aca="false">IF('APA Inputs'!$C$27="",0,(IF(AND(CK$4&gt;='APA Inputs'!$C$27,CK$4&lt;EDATE('APA Inputs'!$C$27,N('APA Inputs'!$D$27))),'APA Inputs'!$J$27,0)+IF(N('APA Inputs'!$H$27)&gt;0,IF(CK$4=EDATE('APA Inputs'!$C$27,'APA Inputs'!$H$27-1),N('APA Inputs'!$G$27),0),0))*IF('APA Inputs'!$I$27="",1,'APA Inputs'!$I$27))</f>
        <v>0</v>
      </c>
      <c r="CL12" s="419" t="n">
        <f aca="false">IF('APA Inputs'!$C$27="",0,(IF(AND(CL$4&gt;='APA Inputs'!$C$27,CL$4&lt;EDATE('APA Inputs'!$C$27,N('APA Inputs'!$D$27))),'APA Inputs'!$J$27,0)+IF(N('APA Inputs'!$H$27)&gt;0,IF(CL$4=EDATE('APA Inputs'!$C$27,'APA Inputs'!$H$27-1),N('APA Inputs'!$G$27),0),0))*IF('APA Inputs'!$I$27="",1,'APA Inputs'!$I$27))</f>
        <v>0</v>
      </c>
      <c r="CM12" s="419" t="n">
        <f aca="false">IF('APA Inputs'!$C$27="",0,(IF(AND(CM$4&gt;='APA Inputs'!$C$27,CM$4&lt;EDATE('APA Inputs'!$C$27,N('APA Inputs'!$D$27))),'APA Inputs'!$J$27,0)+IF(N('APA Inputs'!$H$27)&gt;0,IF(CM$4=EDATE('APA Inputs'!$C$27,'APA Inputs'!$H$27-1),N('APA Inputs'!$G$27),0),0))*IF('APA Inputs'!$I$27="",1,'APA Inputs'!$I$27))</f>
        <v>0</v>
      </c>
      <c r="CN12" s="419" t="n">
        <f aca="false">IF('APA Inputs'!$C$27="",0,(IF(AND(CN$4&gt;='APA Inputs'!$C$27,CN$4&lt;EDATE('APA Inputs'!$C$27,N('APA Inputs'!$D$27))),'APA Inputs'!$J$27,0)+IF(N('APA Inputs'!$H$27)&gt;0,IF(CN$4=EDATE('APA Inputs'!$C$27,'APA Inputs'!$H$27-1),N('APA Inputs'!$G$27),0),0))*IF('APA Inputs'!$I$27="",1,'APA Inputs'!$I$27))</f>
        <v>0</v>
      </c>
      <c r="CO12" s="419" t="n">
        <f aca="false">IF('APA Inputs'!$C$27="",0,(IF(AND(CO$4&gt;='APA Inputs'!$C$27,CO$4&lt;EDATE('APA Inputs'!$C$27,N('APA Inputs'!$D$27))),'APA Inputs'!$J$27,0)+IF(N('APA Inputs'!$H$27)&gt;0,IF(CO$4=EDATE('APA Inputs'!$C$27,'APA Inputs'!$H$27-1),N('APA Inputs'!$G$27),0),0))*IF('APA Inputs'!$I$27="",1,'APA Inputs'!$I$27))</f>
        <v>0</v>
      </c>
      <c r="CP12" s="419" t="n">
        <f aca="false">IF('APA Inputs'!$C$27="",0,(IF(AND(CP$4&gt;='APA Inputs'!$C$27,CP$4&lt;EDATE('APA Inputs'!$C$27,N('APA Inputs'!$D$27))),'APA Inputs'!$J$27,0)+IF(N('APA Inputs'!$H$27)&gt;0,IF(CP$4=EDATE('APA Inputs'!$C$27,'APA Inputs'!$H$27-1),N('APA Inputs'!$G$27),0),0))*IF('APA Inputs'!$I$27="",1,'APA Inputs'!$I$27))</f>
        <v>0</v>
      </c>
      <c r="CQ12" s="419" t="n">
        <f aca="false">IF('APA Inputs'!$C$27="",0,(IF(AND(CQ$4&gt;='APA Inputs'!$C$27,CQ$4&lt;EDATE('APA Inputs'!$C$27,N('APA Inputs'!$D$27))),'APA Inputs'!$J$27,0)+IF(N('APA Inputs'!$H$27)&gt;0,IF(CQ$4=EDATE('APA Inputs'!$C$27,'APA Inputs'!$H$27-1),N('APA Inputs'!$G$27),0),0))*IF('APA Inputs'!$I$27="",1,'APA Inputs'!$I$27))</f>
        <v>0</v>
      </c>
      <c r="CR12" s="419" t="n">
        <f aca="false">IF('APA Inputs'!$C$27="",0,(IF(AND(CR$4&gt;='APA Inputs'!$C$27,CR$4&lt;EDATE('APA Inputs'!$C$27,N('APA Inputs'!$D$27))),'APA Inputs'!$J$27,0)+IF(N('APA Inputs'!$H$27)&gt;0,IF(CR$4=EDATE('APA Inputs'!$C$27,'APA Inputs'!$H$27-1),N('APA Inputs'!$G$27),0),0))*IF('APA Inputs'!$I$27="",1,'APA Inputs'!$I$27))</f>
        <v>0</v>
      </c>
      <c r="CS12" s="419" t="n">
        <f aca="false">IF('APA Inputs'!$C$27="",0,(IF(AND(CS$4&gt;='APA Inputs'!$C$27,CS$4&lt;EDATE('APA Inputs'!$C$27,N('APA Inputs'!$D$27))),'APA Inputs'!$J$27,0)+IF(N('APA Inputs'!$H$27)&gt;0,IF(CS$4=EDATE('APA Inputs'!$C$27,'APA Inputs'!$H$27-1),N('APA Inputs'!$G$27),0),0))*IF('APA Inputs'!$I$27="",1,'APA Inputs'!$I$27))</f>
        <v>0</v>
      </c>
      <c r="CT12" s="419" t="n">
        <f aca="false">IF('APA Inputs'!$C$27="",0,(IF(AND(CT$4&gt;='APA Inputs'!$C$27,CT$4&lt;EDATE('APA Inputs'!$C$27,N('APA Inputs'!$D$27))),'APA Inputs'!$J$27,0)+IF(N('APA Inputs'!$H$27)&gt;0,IF(CT$4=EDATE('APA Inputs'!$C$27,'APA Inputs'!$H$27-1),N('APA Inputs'!$G$27),0),0))*IF('APA Inputs'!$I$27="",1,'APA Inputs'!$I$27))</f>
        <v>0</v>
      </c>
      <c r="CU12" s="419" t="n">
        <f aca="false">IF('APA Inputs'!$C$27="",0,(IF(AND(CU$4&gt;='APA Inputs'!$C$27,CU$4&lt;EDATE('APA Inputs'!$C$27,N('APA Inputs'!$D$27))),'APA Inputs'!$J$27,0)+IF(N('APA Inputs'!$H$27)&gt;0,IF(CU$4=EDATE('APA Inputs'!$C$27,'APA Inputs'!$H$27-1),N('APA Inputs'!$G$27),0),0))*IF('APA Inputs'!$I$27="",1,'APA Inputs'!$I$27))</f>
        <v>0</v>
      </c>
      <c r="CV12" s="419" t="n">
        <f aca="false">IF('APA Inputs'!$C$27="",0,(IF(AND(CV$4&gt;='APA Inputs'!$C$27,CV$4&lt;EDATE('APA Inputs'!$C$27,N('APA Inputs'!$D$27))),'APA Inputs'!$J$27,0)+IF(N('APA Inputs'!$H$27)&gt;0,IF(CV$4=EDATE('APA Inputs'!$C$27,'APA Inputs'!$H$27-1),N('APA Inputs'!$G$27),0),0))*IF('APA Inputs'!$I$27="",1,'APA Inputs'!$I$27))</f>
        <v>0</v>
      </c>
      <c r="CW12" s="419" t="n">
        <f aca="false">IF('APA Inputs'!$C$27="",0,(IF(AND(CW$4&gt;='APA Inputs'!$C$27,CW$4&lt;EDATE('APA Inputs'!$C$27,N('APA Inputs'!$D$27))),'APA Inputs'!$J$27,0)+IF(N('APA Inputs'!$H$27)&gt;0,IF(CW$4=EDATE('APA Inputs'!$C$27,'APA Inputs'!$H$27-1),N('APA Inputs'!$G$27),0),0))*IF('APA Inputs'!$I$27="",1,'APA Inputs'!$I$27))</f>
        <v>0</v>
      </c>
      <c r="CX12" s="419" t="n">
        <f aca="false">IF('APA Inputs'!$C$27="",0,(IF(AND(CX$4&gt;='APA Inputs'!$C$27,CX$4&lt;EDATE('APA Inputs'!$C$27,N('APA Inputs'!$D$27))),'APA Inputs'!$J$27,0)+IF(N('APA Inputs'!$H$27)&gt;0,IF(CX$4=EDATE('APA Inputs'!$C$27,'APA Inputs'!$H$27-1),N('APA Inputs'!$G$27),0),0))*IF('APA Inputs'!$I$27="",1,'APA Inputs'!$I$27))</f>
        <v>0</v>
      </c>
      <c r="CY12" s="419" t="n">
        <f aca="false">IF('APA Inputs'!$C$27="",0,(IF(AND(CY$4&gt;='APA Inputs'!$C$27,CY$4&lt;EDATE('APA Inputs'!$C$27,N('APA Inputs'!$D$27))),'APA Inputs'!$J$27,0)+IF(N('APA Inputs'!$H$27)&gt;0,IF(CY$4=EDATE('APA Inputs'!$C$27,'APA Inputs'!$H$27-1),N('APA Inputs'!$G$27),0),0))*IF('APA Inputs'!$I$27="",1,'APA Inputs'!$I$27))</f>
        <v>0</v>
      </c>
      <c r="CZ12" s="419" t="n">
        <f aca="false">IF('APA Inputs'!$C$27="",0,(IF(AND(CZ$4&gt;='APA Inputs'!$C$27,CZ$4&lt;EDATE('APA Inputs'!$C$27,N('APA Inputs'!$D$27))),'APA Inputs'!$J$27,0)+IF(N('APA Inputs'!$H$27)&gt;0,IF(CZ$4=EDATE('APA Inputs'!$C$27,'APA Inputs'!$H$27-1),N('APA Inputs'!$G$27),0),0))*IF('APA Inputs'!$I$27="",1,'APA Inputs'!$I$27))</f>
        <v>0</v>
      </c>
      <c r="DA12" s="419" t="n">
        <f aca="false">IF('APA Inputs'!$C$27="",0,(IF(AND(DA$4&gt;='APA Inputs'!$C$27,DA$4&lt;EDATE('APA Inputs'!$C$27,N('APA Inputs'!$D$27))),'APA Inputs'!$J$27,0)+IF(N('APA Inputs'!$H$27)&gt;0,IF(DA$4=EDATE('APA Inputs'!$C$27,'APA Inputs'!$H$27-1),N('APA Inputs'!$G$27),0),0))*IF('APA Inputs'!$I$27="",1,'APA Inputs'!$I$27))</f>
        <v>0</v>
      </c>
      <c r="DB12" s="419" t="n">
        <f aca="false">IF('APA Inputs'!$C$27="",0,(IF(AND(DB$4&gt;='APA Inputs'!$C$27,DB$4&lt;EDATE('APA Inputs'!$C$27,N('APA Inputs'!$D$27))),'APA Inputs'!$J$27,0)+IF(N('APA Inputs'!$H$27)&gt;0,IF(DB$4=EDATE('APA Inputs'!$C$27,'APA Inputs'!$H$27-1),N('APA Inputs'!$G$27),0),0))*IF('APA Inputs'!$I$27="",1,'APA Inputs'!$I$27))</f>
        <v>0</v>
      </c>
      <c r="DC12" s="419" t="n">
        <f aca="false">IF('APA Inputs'!$C$27="",0,(IF(AND(DC$4&gt;='APA Inputs'!$C$27,DC$4&lt;EDATE('APA Inputs'!$C$27,N('APA Inputs'!$D$27))),'APA Inputs'!$J$27,0)+IF(N('APA Inputs'!$H$27)&gt;0,IF(DC$4=EDATE('APA Inputs'!$C$27,'APA Inputs'!$H$27-1),N('APA Inputs'!$G$27),0),0))*IF('APA Inputs'!$I$27="",1,'APA Inputs'!$I$27))</f>
        <v>0</v>
      </c>
      <c r="DD12" s="419" t="n">
        <f aca="false">IF('APA Inputs'!$C$27="",0,(IF(AND(DD$4&gt;='APA Inputs'!$C$27,DD$4&lt;EDATE('APA Inputs'!$C$27,N('APA Inputs'!$D$27))),'APA Inputs'!$J$27,0)+IF(N('APA Inputs'!$H$27)&gt;0,IF(DD$4=EDATE('APA Inputs'!$C$27,'APA Inputs'!$H$27-1),N('APA Inputs'!$G$27),0),0))*IF('APA Inputs'!$I$27="",1,'APA Inputs'!$I$27))</f>
        <v>0</v>
      </c>
      <c r="DE12" s="419"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19" t="n">
        <f aca="false">IF('APA Inputs'!$C$28="",0,(IF(AND(B$4&gt;='APA Inputs'!$C$28,B$4&lt;EDATE('APA Inputs'!$C$28,N('APA Inputs'!$D$28))),'APA Inputs'!$J$28,0)+IF(N('APA Inputs'!$H$28)&gt;0,IF(B$4=EDATE('APA Inputs'!$C$28,'APA Inputs'!$H$28-1),N('APA Inputs'!$G$28),0),0))*IF('APA Inputs'!$I$28="",1,'APA Inputs'!$I$28))</f>
        <v>0</v>
      </c>
      <c r="C13" s="419" t="n">
        <f aca="false">IF('APA Inputs'!$C$28="",0,(IF(AND(C$4&gt;='APA Inputs'!$C$28,C$4&lt;EDATE('APA Inputs'!$C$28,N('APA Inputs'!$D$28))),'APA Inputs'!$J$28,0)+IF(N('APA Inputs'!$H$28)&gt;0,IF(C$4=EDATE('APA Inputs'!$C$28,'APA Inputs'!$H$28-1),N('APA Inputs'!$G$28),0),0))*IF('APA Inputs'!$I$28="",1,'APA Inputs'!$I$28))</f>
        <v>0</v>
      </c>
      <c r="D13" s="419" t="n">
        <f aca="false">IF('APA Inputs'!$C$28="",0,(IF(AND(D$4&gt;='APA Inputs'!$C$28,D$4&lt;EDATE('APA Inputs'!$C$28,N('APA Inputs'!$D$28))),'APA Inputs'!$J$28,0)+IF(N('APA Inputs'!$H$28)&gt;0,IF(D$4=EDATE('APA Inputs'!$C$28,'APA Inputs'!$H$28-1),N('APA Inputs'!$G$28),0),0))*IF('APA Inputs'!$I$28="",1,'APA Inputs'!$I$28))</f>
        <v>0</v>
      </c>
      <c r="E13" s="419" t="n">
        <f aca="false">IF('APA Inputs'!$C$28="",0,(IF(AND(E$4&gt;='APA Inputs'!$C$28,E$4&lt;EDATE('APA Inputs'!$C$28,N('APA Inputs'!$D$28))),'APA Inputs'!$J$28,0)+IF(N('APA Inputs'!$H$28)&gt;0,IF(E$4=EDATE('APA Inputs'!$C$28,'APA Inputs'!$H$28-1),N('APA Inputs'!$G$28),0),0))*IF('APA Inputs'!$I$28="",1,'APA Inputs'!$I$28))</f>
        <v>0</v>
      </c>
      <c r="F13" s="419" t="n">
        <f aca="false">IF('APA Inputs'!$C$28="",0,(IF(AND(F$4&gt;='APA Inputs'!$C$28,F$4&lt;EDATE('APA Inputs'!$C$28,N('APA Inputs'!$D$28))),'APA Inputs'!$J$28,0)+IF(N('APA Inputs'!$H$28)&gt;0,IF(F$4=EDATE('APA Inputs'!$C$28,'APA Inputs'!$H$28-1),N('APA Inputs'!$G$28),0),0))*IF('APA Inputs'!$I$28="",1,'APA Inputs'!$I$28))</f>
        <v>0</v>
      </c>
      <c r="G13" s="419" t="n">
        <f aca="false">IF('APA Inputs'!$C$28="",0,(IF(AND(G$4&gt;='APA Inputs'!$C$28,G$4&lt;EDATE('APA Inputs'!$C$28,N('APA Inputs'!$D$28))),'APA Inputs'!$J$28,0)+IF(N('APA Inputs'!$H$28)&gt;0,IF(G$4=EDATE('APA Inputs'!$C$28,'APA Inputs'!$H$28-1),N('APA Inputs'!$G$28),0),0))*IF('APA Inputs'!$I$28="",1,'APA Inputs'!$I$28))</f>
        <v>0</v>
      </c>
      <c r="H13" s="419" t="n">
        <f aca="false">IF('APA Inputs'!$C$28="",0,(IF(AND(H$4&gt;='APA Inputs'!$C$28,H$4&lt;EDATE('APA Inputs'!$C$28,N('APA Inputs'!$D$28))),'APA Inputs'!$J$28,0)+IF(N('APA Inputs'!$H$28)&gt;0,IF(H$4=EDATE('APA Inputs'!$C$28,'APA Inputs'!$H$28-1),N('APA Inputs'!$G$28),0),0))*IF('APA Inputs'!$I$28="",1,'APA Inputs'!$I$28))</f>
        <v>0</v>
      </c>
      <c r="I13" s="419" t="n">
        <f aca="false">IF('APA Inputs'!$C$28="",0,(IF(AND(I$4&gt;='APA Inputs'!$C$28,I$4&lt;EDATE('APA Inputs'!$C$28,N('APA Inputs'!$D$28))),'APA Inputs'!$J$28,0)+IF(N('APA Inputs'!$H$28)&gt;0,IF(I$4=EDATE('APA Inputs'!$C$28,'APA Inputs'!$H$28-1),N('APA Inputs'!$G$28),0),0))*IF('APA Inputs'!$I$28="",1,'APA Inputs'!$I$28))</f>
        <v>0</v>
      </c>
      <c r="J13" s="419" t="n">
        <f aca="false">IF('APA Inputs'!$C$28="",0,(IF(AND(J$4&gt;='APA Inputs'!$C$28,J$4&lt;EDATE('APA Inputs'!$C$28,N('APA Inputs'!$D$28))),'APA Inputs'!$J$28,0)+IF(N('APA Inputs'!$H$28)&gt;0,IF(J$4=EDATE('APA Inputs'!$C$28,'APA Inputs'!$H$28-1),N('APA Inputs'!$G$28),0),0))*IF('APA Inputs'!$I$28="",1,'APA Inputs'!$I$28))</f>
        <v>0</v>
      </c>
      <c r="K13" s="419" t="n">
        <f aca="false">IF('APA Inputs'!$C$28="",0,(IF(AND(K$4&gt;='APA Inputs'!$C$28,K$4&lt;EDATE('APA Inputs'!$C$28,N('APA Inputs'!$D$28))),'APA Inputs'!$J$28,0)+IF(N('APA Inputs'!$H$28)&gt;0,IF(K$4=EDATE('APA Inputs'!$C$28,'APA Inputs'!$H$28-1),N('APA Inputs'!$G$28),0),0))*IF('APA Inputs'!$I$28="",1,'APA Inputs'!$I$28))</f>
        <v>0</v>
      </c>
      <c r="L13" s="419" t="n">
        <f aca="false">IF('APA Inputs'!$C$28="",0,(IF(AND(L$4&gt;='APA Inputs'!$C$28,L$4&lt;EDATE('APA Inputs'!$C$28,N('APA Inputs'!$D$28))),'APA Inputs'!$J$28,0)+IF(N('APA Inputs'!$H$28)&gt;0,IF(L$4=EDATE('APA Inputs'!$C$28,'APA Inputs'!$H$28-1),N('APA Inputs'!$G$28),0),0))*IF('APA Inputs'!$I$28="",1,'APA Inputs'!$I$28))</f>
        <v>0</v>
      </c>
      <c r="M13" s="419" t="n">
        <f aca="false">IF('APA Inputs'!$C$28="",0,(IF(AND(M$4&gt;='APA Inputs'!$C$28,M$4&lt;EDATE('APA Inputs'!$C$28,N('APA Inputs'!$D$28))),'APA Inputs'!$J$28,0)+IF(N('APA Inputs'!$H$28)&gt;0,IF(M$4=EDATE('APA Inputs'!$C$28,'APA Inputs'!$H$28-1),N('APA Inputs'!$G$28),0),0))*IF('APA Inputs'!$I$28="",1,'APA Inputs'!$I$28))</f>
        <v>0</v>
      </c>
      <c r="N13" s="419" t="n">
        <f aca="false">IF('APA Inputs'!$C$28="",0,(IF(AND(N$4&gt;='APA Inputs'!$C$28,N$4&lt;EDATE('APA Inputs'!$C$28,N('APA Inputs'!$D$28))),'APA Inputs'!$J$28,0)+IF(N('APA Inputs'!$H$28)&gt;0,IF(N$4=EDATE('APA Inputs'!$C$28,'APA Inputs'!$H$28-1),N('APA Inputs'!$G$28),0),0))*IF('APA Inputs'!$I$28="",1,'APA Inputs'!$I$28))</f>
        <v>0</v>
      </c>
      <c r="O13" s="419" t="n">
        <f aca="false">IF('APA Inputs'!$C$28="",0,(IF(AND(O$4&gt;='APA Inputs'!$C$28,O$4&lt;EDATE('APA Inputs'!$C$28,N('APA Inputs'!$D$28))),'APA Inputs'!$J$28,0)+IF(N('APA Inputs'!$H$28)&gt;0,IF(O$4=EDATE('APA Inputs'!$C$28,'APA Inputs'!$H$28-1),N('APA Inputs'!$G$28),0),0))*IF('APA Inputs'!$I$28="",1,'APA Inputs'!$I$28))</f>
        <v>0</v>
      </c>
      <c r="P13" s="419" t="n">
        <f aca="false">IF('APA Inputs'!$C$28="",0,(IF(AND(P$4&gt;='APA Inputs'!$C$28,P$4&lt;EDATE('APA Inputs'!$C$28,N('APA Inputs'!$D$28))),'APA Inputs'!$J$28,0)+IF(N('APA Inputs'!$H$28)&gt;0,IF(P$4=EDATE('APA Inputs'!$C$28,'APA Inputs'!$H$28-1),N('APA Inputs'!$G$28),0),0))*IF('APA Inputs'!$I$28="",1,'APA Inputs'!$I$28))</f>
        <v>0</v>
      </c>
      <c r="Q13" s="419" t="n">
        <f aca="false">IF('APA Inputs'!$C$28="",0,(IF(AND(Q$4&gt;='APA Inputs'!$C$28,Q$4&lt;EDATE('APA Inputs'!$C$28,N('APA Inputs'!$D$28))),'APA Inputs'!$J$28,0)+IF(N('APA Inputs'!$H$28)&gt;0,IF(Q$4=EDATE('APA Inputs'!$C$28,'APA Inputs'!$H$28-1),N('APA Inputs'!$G$28),0),0))*IF('APA Inputs'!$I$28="",1,'APA Inputs'!$I$28))</f>
        <v>0</v>
      </c>
      <c r="R13" s="419" t="n">
        <f aca="false">IF('APA Inputs'!$C$28="",0,(IF(AND(R$4&gt;='APA Inputs'!$C$28,R$4&lt;EDATE('APA Inputs'!$C$28,N('APA Inputs'!$D$28))),'APA Inputs'!$J$28,0)+IF(N('APA Inputs'!$H$28)&gt;0,IF(R$4=EDATE('APA Inputs'!$C$28,'APA Inputs'!$H$28-1),N('APA Inputs'!$G$28),0),0))*IF('APA Inputs'!$I$28="",1,'APA Inputs'!$I$28))</f>
        <v>0</v>
      </c>
      <c r="S13" s="419" t="n">
        <f aca="false">IF('APA Inputs'!$C$28="",0,(IF(AND(S$4&gt;='APA Inputs'!$C$28,S$4&lt;EDATE('APA Inputs'!$C$28,N('APA Inputs'!$D$28))),'APA Inputs'!$J$28,0)+IF(N('APA Inputs'!$H$28)&gt;0,IF(S$4=EDATE('APA Inputs'!$C$28,'APA Inputs'!$H$28-1),N('APA Inputs'!$G$28),0),0))*IF('APA Inputs'!$I$28="",1,'APA Inputs'!$I$28))</f>
        <v>0</v>
      </c>
      <c r="T13" s="419" t="n">
        <f aca="false">IF('APA Inputs'!$C$28="",0,(IF(AND(T$4&gt;='APA Inputs'!$C$28,T$4&lt;EDATE('APA Inputs'!$C$28,N('APA Inputs'!$D$28))),'APA Inputs'!$J$28,0)+IF(N('APA Inputs'!$H$28)&gt;0,IF(T$4=EDATE('APA Inputs'!$C$28,'APA Inputs'!$H$28-1),N('APA Inputs'!$G$28),0),0))*IF('APA Inputs'!$I$28="",1,'APA Inputs'!$I$28))</f>
        <v>0</v>
      </c>
      <c r="U13" s="419" t="n">
        <f aca="false">IF('APA Inputs'!$C$28="",0,(IF(AND(U$4&gt;='APA Inputs'!$C$28,U$4&lt;EDATE('APA Inputs'!$C$28,N('APA Inputs'!$D$28))),'APA Inputs'!$J$28,0)+IF(N('APA Inputs'!$H$28)&gt;0,IF(U$4=EDATE('APA Inputs'!$C$28,'APA Inputs'!$H$28-1),N('APA Inputs'!$G$28),0),0))*IF('APA Inputs'!$I$28="",1,'APA Inputs'!$I$28))</f>
        <v>0</v>
      </c>
      <c r="V13" s="419" t="n">
        <f aca="false">IF('APA Inputs'!$C$28="",0,(IF(AND(V$4&gt;='APA Inputs'!$C$28,V$4&lt;EDATE('APA Inputs'!$C$28,N('APA Inputs'!$D$28))),'APA Inputs'!$J$28,0)+IF(N('APA Inputs'!$H$28)&gt;0,IF(V$4=EDATE('APA Inputs'!$C$28,'APA Inputs'!$H$28-1),N('APA Inputs'!$G$28),0),0))*IF('APA Inputs'!$I$28="",1,'APA Inputs'!$I$28))</f>
        <v>0</v>
      </c>
      <c r="W13" s="419" t="n">
        <f aca="false">IF('APA Inputs'!$C$28="",0,(IF(AND(W$4&gt;='APA Inputs'!$C$28,W$4&lt;EDATE('APA Inputs'!$C$28,N('APA Inputs'!$D$28))),'APA Inputs'!$J$28,0)+IF(N('APA Inputs'!$H$28)&gt;0,IF(W$4=EDATE('APA Inputs'!$C$28,'APA Inputs'!$H$28-1),N('APA Inputs'!$G$28),0),0))*IF('APA Inputs'!$I$28="",1,'APA Inputs'!$I$28))</f>
        <v>0</v>
      </c>
      <c r="X13" s="419" t="n">
        <f aca="false">IF('APA Inputs'!$C$28="",0,(IF(AND(X$4&gt;='APA Inputs'!$C$28,X$4&lt;EDATE('APA Inputs'!$C$28,N('APA Inputs'!$D$28))),'APA Inputs'!$J$28,0)+IF(N('APA Inputs'!$H$28)&gt;0,IF(X$4=EDATE('APA Inputs'!$C$28,'APA Inputs'!$H$28-1),N('APA Inputs'!$G$28),0),0))*IF('APA Inputs'!$I$28="",1,'APA Inputs'!$I$28))</f>
        <v>0</v>
      </c>
      <c r="Y13" s="419" t="n">
        <f aca="false">IF('APA Inputs'!$C$28="",0,(IF(AND(Y$4&gt;='APA Inputs'!$C$28,Y$4&lt;EDATE('APA Inputs'!$C$28,N('APA Inputs'!$D$28))),'APA Inputs'!$J$28,0)+IF(N('APA Inputs'!$H$28)&gt;0,IF(Y$4=EDATE('APA Inputs'!$C$28,'APA Inputs'!$H$28-1),N('APA Inputs'!$G$28),0),0))*IF('APA Inputs'!$I$28="",1,'APA Inputs'!$I$28))</f>
        <v>0</v>
      </c>
      <c r="Z13" s="419" t="n">
        <f aca="false">IF('APA Inputs'!$C$28="",0,(IF(AND(Z$4&gt;='APA Inputs'!$C$28,Z$4&lt;EDATE('APA Inputs'!$C$28,N('APA Inputs'!$D$28))),'APA Inputs'!$J$28,0)+IF(N('APA Inputs'!$H$28)&gt;0,IF(Z$4=EDATE('APA Inputs'!$C$28,'APA Inputs'!$H$28-1),N('APA Inputs'!$G$28),0),0))*IF('APA Inputs'!$I$28="",1,'APA Inputs'!$I$28))</f>
        <v>0</v>
      </c>
      <c r="AA13" s="419" t="n">
        <f aca="false">IF('APA Inputs'!$C$28="",0,(IF(AND(AA$4&gt;='APA Inputs'!$C$28,AA$4&lt;EDATE('APA Inputs'!$C$28,N('APA Inputs'!$D$28))),'APA Inputs'!$J$28,0)+IF(N('APA Inputs'!$H$28)&gt;0,IF(AA$4=EDATE('APA Inputs'!$C$28,'APA Inputs'!$H$28-1),N('APA Inputs'!$G$28),0),0))*IF('APA Inputs'!$I$28="",1,'APA Inputs'!$I$28))</f>
        <v>0</v>
      </c>
      <c r="AB13" s="419" t="n">
        <f aca="false">IF('APA Inputs'!$C$28="",0,(IF(AND(AB$4&gt;='APA Inputs'!$C$28,AB$4&lt;EDATE('APA Inputs'!$C$28,N('APA Inputs'!$D$28))),'APA Inputs'!$J$28,0)+IF(N('APA Inputs'!$H$28)&gt;0,IF(AB$4=EDATE('APA Inputs'!$C$28,'APA Inputs'!$H$28-1),N('APA Inputs'!$G$28),0),0))*IF('APA Inputs'!$I$28="",1,'APA Inputs'!$I$28))</f>
        <v>0</v>
      </c>
      <c r="AC13" s="419" t="n">
        <f aca="false">IF('APA Inputs'!$C$28="",0,(IF(AND(AC$4&gt;='APA Inputs'!$C$28,AC$4&lt;EDATE('APA Inputs'!$C$28,N('APA Inputs'!$D$28))),'APA Inputs'!$J$28,0)+IF(N('APA Inputs'!$H$28)&gt;0,IF(AC$4=EDATE('APA Inputs'!$C$28,'APA Inputs'!$H$28-1),N('APA Inputs'!$G$28),0),0))*IF('APA Inputs'!$I$28="",1,'APA Inputs'!$I$28))</f>
        <v>0</v>
      </c>
      <c r="AD13" s="419" t="n">
        <f aca="false">IF('APA Inputs'!$C$28="",0,(IF(AND(AD$4&gt;='APA Inputs'!$C$28,AD$4&lt;EDATE('APA Inputs'!$C$28,N('APA Inputs'!$D$28))),'APA Inputs'!$J$28,0)+IF(N('APA Inputs'!$H$28)&gt;0,IF(AD$4=EDATE('APA Inputs'!$C$28,'APA Inputs'!$H$28-1),N('APA Inputs'!$G$28),0),0))*IF('APA Inputs'!$I$28="",1,'APA Inputs'!$I$28))</f>
        <v>0</v>
      </c>
      <c r="AE13" s="419" t="n">
        <f aca="false">IF('APA Inputs'!$C$28="",0,(IF(AND(AE$4&gt;='APA Inputs'!$C$28,AE$4&lt;EDATE('APA Inputs'!$C$28,N('APA Inputs'!$D$28))),'APA Inputs'!$J$28,0)+IF(N('APA Inputs'!$H$28)&gt;0,IF(AE$4=EDATE('APA Inputs'!$C$28,'APA Inputs'!$H$28-1),N('APA Inputs'!$G$28),0),0))*IF('APA Inputs'!$I$28="",1,'APA Inputs'!$I$28))</f>
        <v>0</v>
      </c>
      <c r="AF13" s="419" t="n">
        <f aca="false">IF('APA Inputs'!$C$28="",0,(IF(AND(AF$4&gt;='APA Inputs'!$C$28,AF$4&lt;EDATE('APA Inputs'!$C$28,N('APA Inputs'!$D$28))),'APA Inputs'!$J$28,0)+IF(N('APA Inputs'!$H$28)&gt;0,IF(AF$4=EDATE('APA Inputs'!$C$28,'APA Inputs'!$H$28-1),N('APA Inputs'!$G$28),0),0))*IF('APA Inputs'!$I$28="",1,'APA Inputs'!$I$28))</f>
        <v>0</v>
      </c>
      <c r="AG13" s="419" t="n">
        <f aca="false">IF('APA Inputs'!$C$28="",0,(IF(AND(AG$4&gt;='APA Inputs'!$C$28,AG$4&lt;EDATE('APA Inputs'!$C$28,N('APA Inputs'!$D$28))),'APA Inputs'!$J$28,0)+IF(N('APA Inputs'!$H$28)&gt;0,IF(AG$4=EDATE('APA Inputs'!$C$28,'APA Inputs'!$H$28-1),N('APA Inputs'!$G$28),0),0))*IF('APA Inputs'!$I$28="",1,'APA Inputs'!$I$28))</f>
        <v>0</v>
      </c>
      <c r="AH13" s="419" t="n">
        <f aca="false">IF('APA Inputs'!$C$28="",0,(IF(AND(AH$4&gt;='APA Inputs'!$C$28,AH$4&lt;EDATE('APA Inputs'!$C$28,N('APA Inputs'!$D$28))),'APA Inputs'!$J$28,0)+IF(N('APA Inputs'!$H$28)&gt;0,IF(AH$4=EDATE('APA Inputs'!$C$28,'APA Inputs'!$H$28-1),N('APA Inputs'!$G$28),0),0))*IF('APA Inputs'!$I$28="",1,'APA Inputs'!$I$28))</f>
        <v>0</v>
      </c>
      <c r="AI13" s="419" t="n">
        <f aca="false">IF('APA Inputs'!$C$28="",0,(IF(AND(AI$4&gt;='APA Inputs'!$C$28,AI$4&lt;EDATE('APA Inputs'!$C$28,N('APA Inputs'!$D$28))),'APA Inputs'!$J$28,0)+IF(N('APA Inputs'!$H$28)&gt;0,IF(AI$4=EDATE('APA Inputs'!$C$28,'APA Inputs'!$H$28-1),N('APA Inputs'!$G$28),0),0))*IF('APA Inputs'!$I$28="",1,'APA Inputs'!$I$28))</f>
        <v>0</v>
      </c>
      <c r="AJ13" s="419" t="n">
        <f aca="false">IF('APA Inputs'!$C$28="",0,(IF(AND(AJ$4&gt;='APA Inputs'!$C$28,AJ$4&lt;EDATE('APA Inputs'!$C$28,N('APA Inputs'!$D$28))),'APA Inputs'!$J$28,0)+IF(N('APA Inputs'!$H$28)&gt;0,IF(AJ$4=EDATE('APA Inputs'!$C$28,'APA Inputs'!$H$28-1),N('APA Inputs'!$G$28),0),0))*IF('APA Inputs'!$I$28="",1,'APA Inputs'!$I$28))</f>
        <v>0</v>
      </c>
      <c r="AK13" s="419" t="n">
        <f aca="false">IF('APA Inputs'!$C$28="",0,(IF(AND(AK$4&gt;='APA Inputs'!$C$28,AK$4&lt;EDATE('APA Inputs'!$C$28,N('APA Inputs'!$D$28))),'APA Inputs'!$J$28,0)+IF(N('APA Inputs'!$H$28)&gt;0,IF(AK$4=EDATE('APA Inputs'!$C$28,'APA Inputs'!$H$28-1),N('APA Inputs'!$G$28),0),0))*IF('APA Inputs'!$I$28="",1,'APA Inputs'!$I$28))</f>
        <v>0</v>
      </c>
      <c r="AL13" s="419" t="n">
        <f aca="false">IF('APA Inputs'!$C$28="",0,(IF(AND(AL$4&gt;='APA Inputs'!$C$28,AL$4&lt;EDATE('APA Inputs'!$C$28,N('APA Inputs'!$D$28))),'APA Inputs'!$J$28,0)+IF(N('APA Inputs'!$H$28)&gt;0,IF(AL$4=EDATE('APA Inputs'!$C$28,'APA Inputs'!$H$28-1),N('APA Inputs'!$G$28),0),0))*IF('APA Inputs'!$I$28="",1,'APA Inputs'!$I$28))</f>
        <v>0</v>
      </c>
      <c r="AM13" s="419" t="n">
        <f aca="false">IF('APA Inputs'!$C$28="",0,(IF(AND(AM$4&gt;='APA Inputs'!$C$28,AM$4&lt;EDATE('APA Inputs'!$C$28,N('APA Inputs'!$D$28))),'APA Inputs'!$J$28,0)+IF(N('APA Inputs'!$H$28)&gt;0,IF(AM$4=EDATE('APA Inputs'!$C$28,'APA Inputs'!$H$28-1),N('APA Inputs'!$G$28),0),0))*IF('APA Inputs'!$I$28="",1,'APA Inputs'!$I$28))</f>
        <v>0</v>
      </c>
      <c r="AN13" s="419" t="n">
        <f aca="false">IF('APA Inputs'!$C$28="",0,(IF(AND(AN$4&gt;='APA Inputs'!$C$28,AN$4&lt;EDATE('APA Inputs'!$C$28,N('APA Inputs'!$D$28))),'APA Inputs'!$J$28,0)+IF(N('APA Inputs'!$H$28)&gt;0,IF(AN$4=EDATE('APA Inputs'!$C$28,'APA Inputs'!$H$28-1),N('APA Inputs'!$G$28),0),0))*IF('APA Inputs'!$I$28="",1,'APA Inputs'!$I$28))</f>
        <v>0</v>
      </c>
      <c r="AO13" s="419" t="n">
        <f aca="false">IF('APA Inputs'!$C$28="",0,(IF(AND(AO$4&gt;='APA Inputs'!$C$28,AO$4&lt;EDATE('APA Inputs'!$C$28,N('APA Inputs'!$D$28))),'APA Inputs'!$J$28,0)+IF(N('APA Inputs'!$H$28)&gt;0,IF(AO$4=EDATE('APA Inputs'!$C$28,'APA Inputs'!$H$28-1),N('APA Inputs'!$G$28),0),0))*IF('APA Inputs'!$I$28="",1,'APA Inputs'!$I$28))</f>
        <v>0</v>
      </c>
      <c r="AP13" s="419" t="n">
        <f aca="false">IF('APA Inputs'!$C$28="",0,(IF(AND(AP$4&gt;='APA Inputs'!$C$28,AP$4&lt;EDATE('APA Inputs'!$C$28,N('APA Inputs'!$D$28))),'APA Inputs'!$J$28,0)+IF(N('APA Inputs'!$H$28)&gt;0,IF(AP$4=EDATE('APA Inputs'!$C$28,'APA Inputs'!$H$28-1),N('APA Inputs'!$G$28),0),0))*IF('APA Inputs'!$I$28="",1,'APA Inputs'!$I$28))</f>
        <v>0</v>
      </c>
      <c r="AQ13" s="419" t="n">
        <f aca="false">IF('APA Inputs'!$C$28="",0,(IF(AND(AQ$4&gt;='APA Inputs'!$C$28,AQ$4&lt;EDATE('APA Inputs'!$C$28,N('APA Inputs'!$D$28))),'APA Inputs'!$J$28,0)+IF(N('APA Inputs'!$H$28)&gt;0,IF(AQ$4=EDATE('APA Inputs'!$C$28,'APA Inputs'!$H$28-1),N('APA Inputs'!$G$28),0),0))*IF('APA Inputs'!$I$28="",1,'APA Inputs'!$I$28))</f>
        <v>0</v>
      </c>
      <c r="AR13" s="419" t="n">
        <f aca="false">IF('APA Inputs'!$C$28="",0,(IF(AND(AR$4&gt;='APA Inputs'!$C$28,AR$4&lt;EDATE('APA Inputs'!$C$28,N('APA Inputs'!$D$28))),'APA Inputs'!$J$28,0)+IF(N('APA Inputs'!$H$28)&gt;0,IF(AR$4=EDATE('APA Inputs'!$C$28,'APA Inputs'!$H$28-1),N('APA Inputs'!$G$28),0),0))*IF('APA Inputs'!$I$28="",1,'APA Inputs'!$I$28))</f>
        <v>0</v>
      </c>
      <c r="AS13" s="419" t="n">
        <f aca="false">IF('APA Inputs'!$C$28="",0,(IF(AND(AS$4&gt;='APA Inputs'!$C$28,AS$4&lt;EDATE('APA Inputs'!$C$28,N('APA Inputs'!$D$28))),'APA Inputs'!$J$28,0)+IF(N('APA Inputs'!$H$28)&gt;0,IF(AS$4=EDATE('APA Inputs'!$C$28,'APA Inputs'!$H$28-1),N('APA Inputs'!$G$28),0),0))*IF('APA Inputs'!$I$28="",1,'APA Inputs'!$I$28))</f>
        <v>0</v>
      </c>
      <c r="AT13" s="419" t="n">
        <f aca="false">IF('APA Inputs'!$C$28="",0,(IF(AND(AT$4&gt;='APA Inputs'!$C$28,AT$4&lt;EDATE('APA Inputs'!$C$28,N('APA Inputs'!$D$28))),'APA Inputs'!$J$28,0)+IF(N('APA Inputs'!$H$28)&gt;0,IF(AT$4=EDATE('APA Inputs'!$C$28,'APA Inputs'!$H$28-1),N('APA Inputs'!$G$28),0),0))*IF('APA Inputs'!$I$28="",1,'APA Inputs'!$I$28))</f>
        <v>0</v>
      </c>
      <c r="AU13" s="419" t="n">
        <f aca="false">IF('APA Inputs'!$C$28="",0,(IF(AND(AU$4&gt;='APA Inputs'!$C$28,AU$4&lt;EDATE('APA Inputs'!$C$28,N('APA Inputs'!$D$28))),'APA Inputs'!$J$28,0)+IF(N('APA Inputs'!$H$28)&gt;0,IF(AU$4=EDATE('APA Inputs'!$C$28,'APA Inputs'!$H$28-1),N('APA Inputs'!$G$28),0),0))*IF('APA Inputs'!$I$28="",1,'APA Inputs'!$I$28))</f>
        <v>0</v>
      </c>
      <c r="AV13" s="419" t="n">
        <f aca="false">IF('APA Inputs'!$C$28="",0,(IF(AND(AV$4&gt;='APA Inputs'!$C$28,AV$4&lt;EDATE('APA Inputs'!$C$28,N('APA Inputs'!$D$28))),'APA Inputs'!$J$28,0)+IF(N('APA Inputs'!$H$28)&gt;0,IF(AV$4=EDATE('APA Inputs'!$C$28,'APA Inputs'!$H$28-1),N('APA Inputs'!$G$28),0),0))*IF('APA Inputs'!$I$28="",1,'APA Inputs'!$I$28))</f>
        <v>0</v>
      </c>
      <c r="AW13" s="419" t="n">
        <f aca="false">IF('APA Inputs'!$C$28="",0,(IF(AND(AW$4&gt;='APA Inputs'!$C$28,AW$4&lt;EDATE('APA Inputs'!$C$28,N('APA Inputs'!$D$28))),'APA Inputs'!$J$28,0)+IF(N('APA Inputs'!$H$28)&gt;0,IF(AW$4=EDATE('APA Inputs'!$C$28,'APA Inputs'!$H$28-1),N('APA Inputs'!$G$28),0),0))*IF('APA Inputs'!$I$28="",1,'APA Inputs'!$I$28))</f>
        <v>0</v>
      </c>
      <c r="AX13" s="419" t="n">
        <f aca="false">IF('APA Inputs'!$C$28="",0,(IF(AND(AX$4&gt;='APA Inputs'!$C$28,AX$4&lt;EDATE('APA Inputs'!$C$28,N('APA Inputs'!$D$28))),'APA Inputs'!$J$28,0)+IF(N('APA Inputs'!$H$28)&gt;0,IF(AX$4=EDATE('APA Inputs'!$C$28,'APA Inputs'!$H$28-1),N('APA Inputs'!$G$28),0),0))*IF('APA Inputs'!$I$28="",1,'APA Inputs'!$I$28))</f>
        <v>0</v>
      </c>
      <c r="AY13" s="419" t="n">
        <f aca="false">IF('APA Inputs'!$C$28="",0,(IF(AND(AY$4&gt;='APA Inputs'!$C$28,AY$4&lt;EDATE('APA Inputs'!$C$28,N('APA Inputs'!$D$28))),'APA Inputs'!$J$28,0)+IF(N('APA Inputs'!$H$28)&gt;0,IF(AY$4=EDATE('APA Inputs'!$C$28,'APA Inputs'!$H$28-1),N('APA Inputs'!$G$28),0),0))*IF('APA Inputs'!$I$28="",1,'APA Inputs'!$I$28))</f>
        <v>0</v>
      </c>
      <c r="AZ13" s="419" t="n">
        <f aca="false">IF('APA Inputs'!$C$28="",0,(IF(AND(AZ$4&gt;='APA Inputs'!$C$28,AZ$4&lt;EDATE('APA Inputs'!$C$28,N('APA Inputs'!$D$28))),'APA Inputs'!$J$28,0)+IF(N('APA Inputs'!$H$28)&gt;0,IF(AZ$4=EDATE('APA Inputs'!$C$28,'APA Inputs'!$H$28-1),N('APA Inputs'!$G$28),0),0))*IF('APA Inputs'!$I$28="",1,'APA Inputs'!$I$28))</f>
        <v>0</v>
      </c>
      <c r="BA13" s="419" t="n">
        <f aca="false">IF('APA Inputs'!$C$28="",0,(IF(AND(BA$4&gt;='APA Inputs'!$C$28,BA$4&lt;EDATE('APA Inputs'!$C$28,N('APA Inputs'!$D$28))),'APA Inputs'!$J$28,0)+IF(N('APA Inputs'!$H$28)&gt;0,IF(BA$4=EDATE('APA Inputs'!$C$28,'APA Inputs'!$H$28-1),N('APA Inputs'!$G$28),0),0))*IF('APA Inputs'!$I$28="",1,'APA Inputs'!$I$28))</f>
        <v>0</v>
      </c>
      <c r="BB13" s="419" t="n">
        <f aca="false">IF('APA Inputs'!$C$28="",0,(IF(AND(BB$4&gt;='APA Inputs'!$C$28,BB$4&lt;EDATE('APA Inputs'!$C$28,N('APA Inputs'!$D$28))),'APA Inputs'!$J$28,0)+IF(N('APA Inputs'!$H$28)&gt;0,IF(BB$4=EDATE('APA Inputs'!$C$28,'APA Inputs'!$H$28-1),N('APA Inputs'!$G$28),0),0))*IF('APA Inputs'!$I$28="",1,'APA Inputs'!$I$28))</f>
        <v>0</v>
      </c>
      <c r="BC13" s="419" t="n">
        <f aca="false">IF('APA Inputs'!$C$28="",0,(IF(AND(BC$4&gt;='APA Inputs'!$C$28,BC$4&lt;EDATE('APA Inputs'!$C$28,N('APA Inputs'!$D$28))),'APA Inputs'!$J$28,0)+IF(N('APA Inputs'!$H$28)&gt;0,IF(BC$4=EDATE('APA Inputs'!$C$28,'APA Inputs'!$H$28-1),N('APA Inputs'!$G$28),0),0))*IF('APA Inputs'!$I$28="",1,'APA Inputs'!$I$28))</f>
        <v>0</v>
      </c>
      <c r="BD13" s="419" t="n">
        <f aca="false">IF('APA Inputs'!$C$28="",0,(IF(AND(BD$4&gt;='APA Inputs'!$C$28,BD$4&lt;EDATE('APA Inputs'!$C$28,N('APA Inputs'!$D$28))),'APA Inputs'!$J$28,0)+IF(N('APA Inputs'!$H$28)&gt;0,IF(BD$4=EDATE('APA Inputs'!$C$28,'APA Inputs'!$H$28-1),N('APA Inputs'!$G$28),0),0))*IF('APA Inputs'!$I$28="",1,'APA Inputs'!$I$28))</f>
        <v>0</v>
      </c>
      <c r="BE13" s="419" t="n">
        <f aca="false">IF('APA Inputs'!$C$28="",0,(IF(AND(BE$4&gt;='APA Inputs'!$C$28,BE$4&lt;EDATE('APA Inputs'!$C$28,N('APA Inputs'!$D$28))),'APA Inputs'!$J$28,0)+IF(N('APA Inputs'!$H$28)&gt;0,IF(BE$4=EDATE('APA Inputs'!$C$28,'APA Inputs'!$H$28-1),N('APA Inputs'!$G$28),0),0))*IF('APA Inputs'!$I$28="",1,'APA Inputs'!$I$28))</f>
        <v>0</v>
      </c>
      <c r="BF13" s="419" t="n">
        <f aca="false">IF('APA Inputs'!$C$28="",0,(IF(AND(BF$4&gt;='APA Inputs'!$C$28,BF$4&lt;EDATE('APA Inputs'!$C$28,N('APA Inputs'!$D$28))),'APA Inputs'!$J$28,0)+IF(N('APA Inputs'!$H$28)&gt;0,IF(BF$4=EDATE('APA Inputs'!$C$28,'APA Inputs'!$H$28-1),N('APA Inputs'!$G$28),0),0))*IF('APA Inputs'!$I$28="",1,'APA Inputs'!$I$28))</f>
        <v>0</v>
      </c>
      <c r="BG13" s="419" t="n">
        <f aca="false">IF('APA Inputs'!$C$28="",0,(IF(AND(BG$4&gt;='APA Inputs'!$C$28,BG$4&lt;EDATE('APA Inputs'!$C$28,N('APA Inputs'!$D$28))),'APA Inputs'!$J$28,0)+IF(N('APA Inputs'!$H$28)&gt;0,IF(BG$4=EDATE('APA Inputs'!$C$28,'APA Inputs'!$H$28-1),N('APA Inputs'!$G$28),0),0))*IF('APA Inputs'!$I$28="",1,'APA Inputs'!$I$28))</f>
        <v>0</v>
      </c>
      <c r="BH13" s="419" t="n">
        <f aca="false">IF('APA Inputs'!$C$28="",0,(IF(AND(BH$4&gt;='APA Inputs'!$C$28,BH$4&lt;EDATE('APA Inputs'!$C$28,N('APA Inputs'!$D$28))),'APA Inputs'!$J$28,0)+IF(N('APA Inputs'!$H$28)&gt;0,IF(BH$4=EDATE('APA Inputs'!$C$28,'APA Inputs'!$H$28-1),N('APA Inputs'!$G$28),0),0))*IF('APA Inputs'!$I$28="",1,'APA Inputs'!$I$28))</f>
        <v>0</v>
      </c>
      <c r="BI13" s="419" t="n">
        <f aca="false">IF('APA Inputs'!$C$28="",0,(IF(AND(BI$4&gt;='APA Inputs'!$C$28,BI$4&lt;EDATE('APA Inputs'!$C$28,N('APA Inputs'!$D$28))),'APA Inputs'!$J$28,0)+IF(N('APA Inputs'!$H$28)&gt;0,IF(BI$4=EDATE('APA Inputs'!$C$28,'APA Inputs'!$H$28-1),N('APA Inputs'!$G$28),0),0))*IF('APA Inputs'!$I$28="",1,'APA Inputs'!$I$28))</f>
        <v>0</v>
      </c>
      <c r="BJ13" s="419" t="n">
        <f aca="false">IF('APA Inputs'!$C$28="",0,(IF(AND(BJ$4&gt;='APA Inputs'!$C$28,BJ$4&lt;EDATE('APA Inputs'!$C$28,N('APA Inputs'!$D$28))),'APA Inputs'!$J$28,0)+IF(N('APA Inputs'!$H$28)&gt;0,IF(BJ$4=EDATE('APA Inputs'!$C$28,'APA Inputs'!$H$28-1),N('APA Inputs'!$G$28),0),0))*IF('APA Inputs'!$I$28="",1,'APA Inputs'!$I$28))</f>
        <v>0</v>
      </c>
      <c r="BK13" s="419" t="n">
        <f aca="false">IF('APA Inputs'!$C$28="",0,(IF(AND(BK$4&gt;='APA Inputs'!$C$28,BK$4&lt;EDATE('APA Inputs'!$C$28,N('APA Inputs'!$D$28))),'APA Inputs'!$J$28,0)+IF(N('APA Inputs'!$H$28)&gt;0,IF(BK$4=EDATE('APA Inputs'!$C$28,'APA Inputs'!$H$28-1),N('APA Inputs'!$G$28),0),0))*IF('APA Inputs'!$I$28="",1,'APA Inputs'!$I$28))</f>
        <v>0</v>
      </c>
      <c r="BL13" s="419" t="n">
        <f aca="false">IF('APA Inputs'!$C$28="",0,(IF(AND(BL$4&gt;='APA Inputs'!$C$28,BL$4&lt;EDATE('APA Inputs'!$C$28,N('APA Inputs'!$D$28))),'APA Inputs'!$J$28,0)+IF(N('APA Inputs'!$H$28)&gt;0,IF(BL$4=EDATE('APA Inputs'!$C$28,'APA Inputs'!$H$28-1),N('APA Inputs'!$G$28),0),0))*IF('APA Inputs'!$I$28="",1,'APA Inputs'!$I$28))</f>
        <v>0</v>
      </c>
      <c r="BM13" s="419" t="n">
        <f aca="false">IF('APA Inputs'!$C$28="",0,(IF(AND(BM$4&gt;='APA Inputs'!$C$28,BM$4&lt;EDATE('APA Inputs'!$C$28,N('APA Inputs'!$D$28))),'APA Inputs'!$J$28,0)+IF(N('APA Inputs'!$H$28)&gt;0,IF(BM$4=EDATE('APA Inputs'!$C$28,'APA Inputs'!$H$28-1),N('APA Inputs'!$G$28),0),0))*IF('APA Inputs'!$I$28="",1,'APA Inputs'!$I$28))</f>
        <v>0</v>
      </c>
      <c r="BN13" s="419" t="n">
        <f aca="false">IF('APA Inputs'!$C$28="",0,(IF(AND(BN$4&gt;='APA Inputs'!$C$28,BN$4&lt;EDATE('APA Inputs'!$C$28,N('APA Inputs'!$D$28))),'APA Inputs'!$J$28,0)+IF(N('APA Inputs'!$H$28)&gt;0,IF(BN$4=EDATE('APA Inputs'!$C$28,'APA Inputs'!$H$28-1),N('APA Inputs'!$G$28),0),0))*IF('APA Inputs'!$I$28="",1,'APA Inputs'!$I$28))</f>
        <v>0</v>
      </c>
      <c r="BO13" s="419" t="n">
        <f aca="false">IF('APA Inputs'!$C$28="",0,(IF(AND(BO$4&gt;='APA Inputs'!$C$28,BO$4&lt;EDATE('APA Inputs'!$C$28,N('APA Inputs'!$D$28))),'APA Inputs'!$J$28,0)+IF(N('APA Inputs'!$H$28)&gt;0,IF(BO$4=EDATE('APA Inputs'!$C$28,'APA Inputs'!$H$28-1),N('APA Inputs'!$G$28),0),0))*IF('APA Inputs'!$I$28="",1,'APA Inputs'!$I$28))</f>
        <v>0</v>
      </c>
      <c r="BP13" s="419" t="n">
        <f aca="false">IF('APA Inputs'!$C$28="",0,(IF(AND(BP$4&gt;='APA Inputs'!$C$28,BP$4&lt;EDATE('APA Inputs'!$C$28,N('APA Inputs'!$D$28))),'APA Inputs'!$J$28,0)+IF(N('APA Inputs'!$H$28)&gt;0,IF(BP$4=EDATE('APA Inputs'!$C$28,'APA Inputs'!$H$28-1),N('APA Inputs'!$G$28),0),0))*IF('APA Inputs'!$I$28="",1,'APA Inputs'!$I$28))</f>
        <v>0</v>
      </c>
      <c r="BQ13" s="419" t="n">
        <f aca="false">IF('APA Inputs'!$C$28="",0,(IF(AND(BQ$4&gt;='APA Inputs'!$C$28,BQ$4&lt;EDATE('APA Inputs'!$C$28,N('APA Inputs'!$D$28))),'APA Inputs'!$J$28,0)+IF(N('APA Inputs'!$H$28)&gt;0,IF(BQ$4=EDATE('APA Inputs'!$C$28,'APA Inputs'!$H$28-1),N('APA Inputs'!$G$28),0),0))*IF('APA Inputs'!$I$28="",1,'APA Inputs'!$I$28))</f>
        <v>0</v>
      </c>
      <c r="BR13" s="419" t="n">
        <f aca="false">IF('APA Inputs'!$C$28="",0,(IF(AND(BR$4&gt;='APA Inputs'!$C$28,BR$4&lt;EDATE('APA Inputs'!$C$28,N('APA Inputs'!$D$28))),'APA Inputs'!$J$28,0)+IF(N('APA Inputs'!$H$28)&gt;0,IF(BR$4=EDATE('APA Inputs'!$C$28,'APA Inputs'!$H$28-1),N('APA Inputs'!$G$28),0),0))*IF('APA Inputs'!$I$28="",1,'APA Inputs'!$I$28))</f>
        <v>0</v>
      </c>
      <c r="BS13" s="419" t="n">
        <f aca="false">IF('APA Inputs'!$C$28="",0,(IF(AND(BS$4&gt;='APA Inputs'!$C$28,BS$4&lt;EDATE('APA Inputs'!$C$28,N('APA Inputs'!$D$28))),'APA Inputs'!$J$28,0)+IF(N('APA Inputs'!$H$28)&gt;0,IF(BS$4=EDATE('APA Inputs'!$C$28,'APA Inputs'!$H$28-1),N('APA Inputs'!$G$28),0),0))*IF('APA Inputs'!$I$28="",1,'APA Inputs'!$I$28))</f>
        <v>0</v>
      </c>
      <c r="BT13" s="419" t="n">
        <f aca="false">IF('APA Inputs'!$C$28="",0,(IF(AND(BT$4&gt;='APA Inputs'!$C$28,BT$4&lt;EDATE('APA Inputs'!$C$28,N('APA Inputs'!$D$28))),'APA Inputs'!$J$28,0)+IF(N('APA Inputs'!$H$28)&gt;0,IF(BT$4=EDATE('APA Inputs'!$C$28,'APA Inputs'!$H$28-1),N('APA Inputs'!$G$28),0),0))*IF('APA Inputs'!$I$28="",1,'APA Inputs'!$I$28))</f>
        <v>0</v>
      </c>
      <c r="BU13" s="419" t="n">
        <f aca="false">IF('APA Inputs'!$C$28="",0,(IF(AND(BU$4&gt;='APA Inputs'!$C$28,BU$4&lt;EDATE('APA Inputs'!$C$28,N('APA Inputs'!$D$28))),'APA Inputs'!$J$28,0)+IF(N('APA Inputs'!$H$28)&gt;0,IF(BU$4=EDATE('APA Inputs'!$C$28,'APA Inputs'!$H$28-1),N('APA Inputs'!$G$28),0),0))*IF('APA Inputs'!$I$28="",1,'APA Inputs'!$I$28))</f>
        <v>0</v>
      </c>
      <c r="BV13" s="419" t="n">
        <f aca="false">IF('APA Inputs'!$C$28="",0,(IF(AND(BV$4&gt;='APA Inputs'!$C$28,BV$4&lt;EDATE('APA Inputs'!$C$28,N('APA Inputs'!$D$28))),'APA Inputs'!$J$28,0)+IF(N('APA Inputs'!$H$28)&gt;0,IF(BV$4=EDATE('APA Inputs'!$C$28,'APA Inputs'!$H$28-1),N('APA Inputs'!$G$28),0),0))*IF('APA Inputs'!$I$28="",1,'APA Inputs'!$I$28))</f>
        <v>0</v>
      </c>
      <c r="BW13" s="419" t="n">
        <f aca="false">IF('APA Inputs'!$C$28="",0,(IF(AND(BW$4&gt;='APA Inputs'!$C$28,BW$4&lt;EDATE('APA Inputs'!$C$28,N('APA Inputs'!$D$28))),'APA Inputs'!$J$28,0)+IF(N('APA Inputs'!$H$28)&gt;0,IF(BW$4=EDATE('APA Inputs'!$C$28,'APA Inputs'!$H$28-1),N('APA Inputs'!$G$28),0),0))*IF('APA Inputs'!$I$28="",1,'APA Inputs'!$I$28))</f>
        <v>0</v>
      </c>
      <c r="BX13" s="419" t="n">
        <f aca="false">IF('APA Inputs'!$C$28="",0,(IF(AND(BX$4&gt;='APA Inputs'!$C$28,BX$4&lt;EDATE('APA Inputs'!$C$28,N('APA Inputs'!$D$28))),'APA Inputs'!$J$28,0)+IF(N('APA Inputs'!$H$28)&gt;0,IF(BX$4=EDATE('APA Inputs'!$C$28,'APA Inputs'!$H$28-1),N('APA Inputs'!$G$28),0),0))*IF('APA Inputs'!$I$28="",1,'APA Inputs'!$I$28))</f>
        <v>0</v>
      </c>
      <c r="BY13" s="419" t="n">
        <f aca="false">IF('APA Inputs'!$C$28="",0,(IF(AND(BY$4&gt;='APA Inputs'!$C$28,BY$4&lt;EDATE('APA Inputs'!$C$28,N('APA Inputs'!$D$28))),'APA Inputs'!$J$28,0)+IF(N('APA Inputs'!$H$28)&gt;0,IF(BY$4=EDATE('APA Inputs'!$C$28,'APA Inputs'!$H$28-1),N('APA Inputs'!$G$28),0),0))*IF('APA Inputs'!$I$28="",1,'APA Inputs'!$I$28))</f>
        <v>0</v>
      </c>
      <c r="BZ13" s="419" t="n">
        <f aca="false">IF('APA Inputs'!$C$28="",0,(IF(AND(BZ$4&gt;='APA Inputs'!$C$28,BZ$4&lt;EDATE('APA Inputs'!$C$28,N('APA Inputs'!$D$28))),'APA Inputs'!$J$28,0)+IF(N('APA Inputs'!$H$28)&gt;0,IF(BZ$4=EDATE('APA Inputs'!$C$28,'APA Inputs'!$H$28-1),N('APA Inputs'!$G$28),0),0))*IF('APA Inputs'!$I$28="",1,'APA Inputs'!$I$28))</f>
        <v>0</v>
      </c>
      <c r="CA13" s="419" t="n">
        <f aca="false">IF('APA Inputs'!$C$28="",0,(IF(AND(CA$4&gt;='APA Inputs'!$C$28,CA$4&lt;EDATE('APA Inputs'!$C$28,N('APA Inputs'!$D$28))),'APA Inputs'!$J$28,0)+IF(N('APA Inputs'!$H$28)&gt;0,IF(CA$4=EDATE('APA Inputs'!$C$28,'APA Inputs'!$H$28-1),N('APA Inputs'!$G$28),0),0))*IF('APA Inputs'!$I$28="",1,'APA Inputs'!$I$28))</f>
        <v>0</v>
      </c>
      <c r="CB13" s="419" t="n">
        <f aca="false">IF('APA Inputs'!$C$28="",0,(IF(AND(CB$4&gt;='APA Inputs'!$C$28,CB$4&lt;EDATE('APA Inputs'!$C$28,N('APA Inputs'!$D$28))),'APA Inputs'!$J$28,0)+IF(N('APA Inputs'!$H$28)&gt;0,IF(CB$4=EDATE('APA Inputs'!$C$28,'APA Inputs'!$H$28-1),N('APA Inputs'!$G$28),0),0))*IF('APA Inputs'!$I$28="",1,'APA Inputs'!$I$28))</f>
        <v>0</v>
      </c>
      <c r="CC13" s="419" t="n">
        <f aca="false">IF('APA Inputs'!$C$28="",0,(IF(AND(CC$4&gt;='APA Inputs'!$C$28,CC$4&lt;EDATE('APA Inputs'!$C$28,N('APA Inputs'!$D$28))),'APA Inputs'!$J$28,0)+IF(N('APA Inputs'!$H$28)&gt;0,IF(CC$4=EDATE('APA Inputs'!$C$28,'APA Inputs'!$H$28-1),N('APA Inputs'!$G$28),0),0))*IF('APA Inputs'!$I$28="",1,'APA Inputs'!$I$28))</f>
        <v>0</v>
      </c>
      <c r="CD13" s="419" t="n">
        <f aca="false">IF('APA Inputs'!$C$28="",0,(IF(AND(CD$4&gt;='APA Inputs'!$C$28,CD$4&lt;EDATE('APA Inputs'!$C$28,N('APA Inputs'!$D$28))),'APA Inputs'!$J$28,0)+IF(N('APA Inputs'!$H$28)&gt;0,IF(CD$4=EDATE('APA Inputs'!$C$28,'APA Inputs'!$H$28-1),N('APA Inputs'!$G$28),0),0))*IF('APA Inputs'!$I$28="",1,'APA Inputs'!$I$28))</f>
        <v>0</v>
      </c>
      <c r="CE13" s="419" t="n">
        <f aca="false">IF('APA Inputs'!$C$28="",0,(IF(AND(CE$4&gt;='APA Inputs'!$C$28,CE$4&lt;EDATE('APA Inputs'!$C$28,N('APA Inputs'!$D$28))),'APA Inputs'!$J$28,0)+IF(N('APA Inputs'!$H$28)&gt;0,IF(CE$4=EDATE('APA Inputs'!$C$28,'APA Inputs'!$H$28-1),N('APA Inputs'!$G$28),0),0))*IF('APA Inputs'!$I$28="",1,'APA Inputs'!$I$28))</f>
        <v>0</v>
      </c>
      <c r="CF13" s="419" t="n">
        <f aca="false">IF('APA Inputs'!$C$28="",0,(IF(AND(CF$4&gt;='APA Inputs'!$C$28,CF$4&lt;EDATE('APA Inputs'!$C$28,N('APA Inputs'!$D$28))),'APA Inputs'!$J$28,0)+IF(N('APA Inputs'!$H$28)&gt;0,IF(CF$4=EDATE('APA Inputs'!$C$28,'APA Inputs'!$H$28-1),N('APA Inputs'!$G$28),0),0))*IF('APA Inputs'!$I$28="",1,'APA Inputs'!$I$28))</f>
        <v>0</v>
      </c>
      <c r="CG13" s="419" t="n">
        <f aca="false">IF('APA Inputs'!$C$28="",0,(IF(AND(CG$4&gt;='APA Inputs'!$C$28,CG$4&lt;EDATE('APA Inputs'!$C$28,N('APA Inputs'!$D$28))),'APA Inputs'!$J$28,0)+IF(N('APA Inputs'!$H$28)&gt;0,IF(CG$4=EDATE('APA Inputs'!$C$28,'APA Inputs'!$H$28-1),N('APA Inputs'!$G$28),0),0))*IF('APA Inputs'!$I$28="",1,'APA Inputs'!$I$28))</f>
        <v>0</v>
      </c>
      <c r="CH13" s="419" t="n">
        <f aca="false">IF('APA Inputs'!$C$28="",0,(IF(AND(CH$4&gt;='APA Inputs'!$C$28,CH$4&lt;EDATE('APA Inputs'!$C$28,N('APA Inputs'!$D$28))),'APA Inputs'!$J$28,0)+IF(N('APA Inputs'!$H$28)&gt;0,IF(CH$4=EDATE('APA Inputs'!$C$28,'APA Inputs'!$H$28-1),N('APA Inputs'!$G$28),0),0))*IF('APA Inputs'!$I$28="",1,'APA Inputs'!$I$28))</f>
        <v>0</v>
      </c>
      <c r="CI13" s="419" t="n">
        <f aca="false">IF('APA Inputs'!$C$28="",0,(IF(AND(CI$4&gt;='APA Inputs'!$C$28,CI$4&lt;EDATE('APA Inputs'!$C$28,N('APA Inputs'!$D$28))),'APA Inputs'!$J$28,0)+IF(N('APA Inputs'!$H$28)&gt;0,IF(CI$4=EDATE('APA Inputs'!$C$28,'APA Inputs'!$H$28-1),N('APA Inputs'!$G$28),0),0))*IF('APA Inputs'!$I$28="",1,'APA Inputs'!$I$28))</f>
        <v>0</v>
      </c>
      <c r="CJ13" s="419" t="n">
        <f aca="false">IF('APA Inputs'!$C$28="",0,(IF(AND(CJ$4&gt;='APA Inputs'!$C$28,CJ$4&lt;EDATE('APA Inputs'!$C$28,N('APA Inputs'!$D$28))),'APA Inputs'!$J$28,0)+IF(N('APA Inputs'!$H$28)&gt;0,IF(CJ$4=EDATE('APA Inputs'!$C$28,'APA Inputs'!$H$28-1),N('APA Inputs'!$G$28),0),0))*IF('APA Inputs'!$I$28="",1,'APA Inputs'!$I$28))</f>
        <v>0</v>
      </c>
      <c r="CK13" s="419" t="n">
        <f aca="false">IF('APA Inputs'!$C$28="",0,(IF(AND(CK$4&gt;='APA Inputs'!$C$28,CK$4&lt;EDATE('APA Inputs'!$C$28,N('APA Inputs'!$D$28))),'APA Inputs'!$J$28,0)+IF(N('APA Inputs'!$H$28)&gt;0,IF(CK$4=EDATE('APA Inputs'!$C$28,'APA Inputs'!$H$28-1),N('APA Inputs'!$G$28),0),0))*IF('APA Inputs'!$I$28="",1,'APA Inputs'!$I$28))</f>
        <v>0</v>
      </c>
      <c r="CL13" s="419" t="n">
        <f aca="false">IF('APA Inputs'!$C$28="",0,(IF(AND(CL$4&gt;='APA Inputs'!$C$28,CL$4&lt;EDATE('APA Inputs'!$C$28,N('APA Inputs'!$D$28))),'APA Inputs'!$J$28,0)+IF(N('APA Inputs'!$H$28)&gt;0,IF(CL$4=EDATE('APA Inputs'!$C$28,'APA Inputs'!$H$28-1),N('APA Inputs'!$G$28),0),0))*IF('APA Inputs'!$I$28="",1,'APA Inputs'!$I$28))</f>
        <v>0</v>
      </c>
      <c r="CM13" s="419" t="n">
        <f aca="false">IF('APA Inputs'!$C$28="",0,(IF(AND(CM$4&gt;='APA Inputs'!$C$28,CM$4&lt;EDATE('APA Inputs'!$C$28,N('APA Inputs'!$D$28))),'APA Inputs'!$J$28,0)+IF(N('APA Inputs'!$H$28)&gt;0,IF(CM$4=EDATE('APA Inputs'!$C$28,'APA Inputs'!$H$28-1),N('APA Inputs'!$G$28),0),0))*IF('APA Inputs'!$I$28="",1,'APA Inputs'!$I$28))</f>
        <v>0</v>
      </c>
      <c r="CN13" s="419" t="n">
        <f aca="false">IF('APA Inputs'!$C$28="",0,(IF(AND(CN$4&gt;='APA Inputs'!$C$28,CN$4&lt;EDATE('APA Inputs'!$C$28,N('APA Inputs'!$D$28))),'APA Inputs'!$J$28,0)+IF(N('APA Inputs'!$H$28)&gt;0,IF(CN$4=EDATE('APA Inputs'!$C$28,'APA Inputs'!$H$28-1),N('APA Inputs'!$G$28),0),0))*IF('APA Inputs'!$I$28="",1,'APA Inputs'!$I$28))</f>
        <v>0</v>
      </c>
      <c r="CO13" s="419" t="n">
        <f aca="false">IF('APA Inputs'!$C$28="",0,(IF(AND(CO$4&gt;='APA Inputs'!$C$28,CO$4&lt;EDATE('APA Inputs'!$C$28,N('APA Inputs'!$D$28))),'APA Inputs'!$J$28,0)+IF(N('APA Inputs'!$H$28)&gt;0,IF(CO$4=EDATE('APA Inputs'!$C$28,'APA Inputs'!$H$28-1),N('APA Inputs'!$G$28),0),0))*IF('APA Inputs'!$I$28="",1,'APA Inputs'!$I$28))</f>
        <v>0</v>
      </c>
      <c r="CP13" s="419" t="n">
        <f aca="false">IF('APA Inputs'!$C$28="",0,(IF(AND(CP$4&gt;='APA Inputs'!$C$28,CP$4&lt;EDATE('APA Inputs'!$C$28,N('APA Inputs'!$D$28))),'APA Inputs'!$J$28,0)+IF(N('APA Inputs'!$H$28)&gt;0,IF(CP$4=EDATE('APA Inputs'!$C$28,'APA Inputs'!$H$28-1),N('APA Inputs'!$G$28),0),0))*IF('APA Inputs'!$I$28="",1,'APA Inputs'!$I$28))</f>
        <v>0</v>
      </c>
      <c r="CQ13" s="419" t="n">
        <f aca="false">IF('APA Inputs'!$C$28="",0,(IF(AND(CQ$4&gt;='APA Inputs'!$C$28,CQ$4&lt;EDATE('APA Inputs'!$C$28,N('APA Inputs'!$D$28))),'APA Inputs'!$J$28,0)+IF(N('APA Inputs'!$H$28)&gt;0,IF(CQ$4=EDATE('APA Inputs'!$C$28,'APA Inputs'!$H$28-1),N('APA Inputs'!$G$28),0),0))*IF('APA Inputs'!$I$28="",1,'APA Inputs'!$I$28))</f>
        <v>0</v>
      </c>
      <c r="CR13" s="419" t="n">
        <f aca="false">IF('APA Inputs'!$C$28="",0,(IF(AND(CR$4&gt;='APA Inputs'!$C$28,CR$4&lt;EDATE('APA Inputs'!$C$28,N('APA Inputs'!$D$28))),'APA Inputs'!$J$28,0)+IF(N('APA Inputs'!$H$28)&gt;0,IF(CR$4=EDATE('APA Inputs'!$C$28,'APA Inputs'!$H$28-1),N('APA Inputs'!$G$28),0),0))*IF('APA Inputs'!$I$28="",1,'APA Inputs'!$I$28))</f>
        <v>0</v>
      </c>
      <c r="CS13" s="419" t="n">
        <f aca="false">IF('APA Inputs'!$C$28="",0,(IF(AND(CS$4&gt;='APA Inputs'!$C$28,CS$4&lt;EDATE('APA Inputs'!$C$28,N('APA Inputs'!$D$28))),'APA Inputs'!$J$28,0)+IF(N('APA Inputs'!$H$28)&gt;0,IF(CS$4=EDATE('APA Inputs'!$C$28,'APA Inputs'!$H$28-1),N('APA Inputs'!$G$28),0),0))*IF('APA Inputs'!$I$28="",1,'APA Inputs'!$I$28))</f>
        <v>0</v>
      </c>
      <c r="CT13" s="419" t="n">
        <f aca="false">IF('APA Inputs'!$C$28="",0,(IF(AND(CT$4&gt;='APA Inputs'!$C$28,CT$4&lt;EDATE('APA Inputs'!$C$28,N('APA Inputs'!$D$28))),'APA Inputs'!$J$28,0)+IF(N('APA Inputs'!$H$28)&gt;0,IF(CT$4=EDATE('APA Inputs'!$C$28,'APA Inputs'!$H$28-1),N('APA Inputs'!$G$28),0),0))*IF('APA Inputs'!$I$28="",1,'APA Inputs'!$I$28))</f>
        <v>0</v>
      </c>
      <c r="CU13" s="419" t="n">
        <f aca="false">IF('APA Inputs'!$C$28="",0,(IF(AND(CU$4&gt;='APA Inputs'!$C$28,CU$4&lt;EDATE('APA Inputs'!$C$28,N('APA Inputs'!$D$28))),'APA Inputs'!$J$28,0)+IF(N('APA Inputs'!$H$28)&gt;0,IF(CU$4=EDATE('APA Inputs'!$C$28,'APA Inputs'!$H$28-1),N('APA Inputs'!$G$28),0),0))*IF('APA Inputs'!$I$28="",1,'APA Inputs'!$I$28))</f>
        <v>0</v>
      </c>
      <c r="CV13" s="419" t="n">
        <f aca="false">IF('APA Inputs'!$C$28="",0,(IF(AND(CV$4&gt;='APA Inputs'!$C$28,CV$4&lt;EDATE('APA Inputs'!$C$28,N('APA Inputs'!$D$28))),'APA Inputs'!$J$28,0)+IF(N('APA Inputs'!$H$28)&gt;0,IF(CV$4=EDATE('APA Inputs'!$C$28,'APA Inputs'!$H$28-1),N('APA Inputs'!$G$28),0),0))*IF('APA Inputs'!$I$28="",1,'APA Inputs'!$I$28))</f>
        <v>0</v>
      </c>
      <c r="CW13" s="419" t="n">
        <f aca="false">IF('APA Inputs'!$C$28="",0,(IF(AND(CW$4&gt;='APA Inputs'!$C$28,CW$4&lt;EDATE('APA Inputs'!$C$28,N('APA Inputs'!$D$28))),'APA Inputs'!$J$28,0)+IF(N('APA Inputs'!$H$28)&gt;0,IF(CW$4=EDATE('APA Inputs'!$C$28,'APA Inputs'!$H$28-1),N('APA Inputs'!$G$28),0),0))*IF('APA Inputs'!$I$28="",1,'APA Inputs'!$I$28))</f>
        <v>0</v>
      </c>
      <c r="CX13" s="419" t="n">
        <f aca="false">IF('APA Inputs'!$C$28="",0,(IF(AND(CX$4&gt;='APA Inputs'!$C$28,CX$4&lt;EDATE('APA Inputs'!$C$28,N('APA Inputs'!$D$28))),'APA Inputs'!$J$28,0)+IF(N('APA Inputs'!$H$28)&gt;0,IF(CX$4=EDATE('APA Inputs'!$C$28,'APA Inputs'!$H$28-1),N('APA Inputs'!$G$28),0),0))*IF('APA Inputs'!$I$28="",1,'APA Inputs'!$I$28))</f>
        <v>0</v>
      </c>
      <c r="CY13" s="419" t="n">
        <f aca="false">IF('APA Inputs'!$C$28="",0,(IF(AND(CY$4&gt;='APA Inputs'!$C$28,CY$4&lt;EDATE('APA Inputs'!$C$28,N('APA Inputs'!$D$28))),'APA Inputs'!$J$28,0)+IF(N('APA Inputs'!$H$28)&gt;0,IF(CY$4=EDATE('APA Inputs'!$C$28,'APA Inputs'!$H$28-1),N('APA Inputs'!$G$28),0),0))*IF('APA Inputs'!$I$28="",1,'APA Inputs'!$I$28))</f>
        <v>0</v>
      </c>
      <c r="CZ13" s="419" t="n">
        <f aca="false">IF('APA Inputs'!$C$28="",0,(IF(AND(CZ$4&gt;='APA Inputs'!$C$28,CZ$4&lt;EDATE('APA Inputs'!$C$28,N('APA Inputs'!$D$28))),'APA Inputs'!$J$28,0)+IF(N('APA Inputs'!$H$28)&gt;0,IF(CZ$4=EDATE('APA Inputs'!$C$28,'APA Inputs'!$H$28-1),N('APA Inputs'!$G$28),0),0))*IF('APA Inputs'!$I$28="",1,'APA Inputs'!$I$28))</f>
        <v>0</v>
      </c>
      <c r="DA13" s="419" t="n">
        <f aca="false">IF('APA Inputs'!$C$28="",0,(IF(AND(DA$4&gt;='APA Inputs'!$C$28,DA$4&lt;EDATE('APA Inputs'!$C$28,N('APA Inputs'!$D$28))),'APA Inputs'!$J$28,0)+IF(N('APA Inputs'!$H$28)&gt;0,IF(DA$4=EDATE('APA Inputs'!$C$28,'APA Inputs'!$H$28-1),N('APA Inputs'!$G$28),0),0))*IF('APA Inputs'!$I$28="",1,'APA Inputs'!$I$28))</f>
        <v>0</v>
      </c>
      <c r="DB13" s="419" t="n">
        <f aca="false">IF('APA Inputs'!$C$28="",0,(IF(AND(DB$4&gt;='APA Inputs'!$C$28,DB$4&lt;EDATE('APA Inputs'!$C$28,N('APA Inputs'!$D$28))),'APA Inputs'!$J$28,0)+IF(N('APA Inputs'!$H$28)&gt;0,IF(DB$4=EDATE('APA Inputs'!$C$28,'APA Inputs'!$H$28-1),N('APA Inputs'!$G$28),0),0))*IF('APA Inputs'!$I$28="",1,'APA Inputs'!$I$28))</f>
        <v>0</v>
      </c>
      <c r="DC13" s="419" t="n">
        <f aca="false">IF('APA Inputs'!$C$28="",0,(IF(AND(DC$4&gt;='APA Inputs'!$C$28,DC$4&lt;EDATE('APA Inputs'!$C$28,N('APA Inputs'!$D$28))),'APA Inputs'!$J$28,0)+IF(N('APA Inputs'!$H$28)&gt;0,IF(DC$4=EDATE('APA Inputs'!$C$28,'APA Inputs'!$H$28-1),N('APA Inputs'!$G$28),0),0))*IF('APA Inputs'!$I$28="",1,'APA Inputs'!$I$28))</f>
        <v>0</v>
      </c>
      <c r="DD13" s="419" t="n">
        <f aca="false">IF('APA Inputs'!$C$28="",0,(IF(AND(DD$4&gt;='APA Inputs'!$C$28,DD$4&lt;EDATE('APA Inputs'!$C$28,N('APA Inputs'!$D$28))),'APA Inputs'!$J$28,0)+IF(N('APA Inputs'!$H$28)&gt;0,IF(DD$4=EDATE('APA Inputs'!$C$28,'APA Inputs'!$H$28-1),N('APA Inputs'!$G$28),0),0))*IF('APA Inputs'!$I$28="",1,'APA Inputs'!$I$28))</f>
        <v>0</v>
      </c>
      <c r="DE13" s="419"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19" t="n">
        <f aca="false">IF('APA Inputs'!$C$29="",0,(IF(AND(B$4&gt;='APA Inputs'!$C$29,B$4&lt;EDATE('APA Inputs'!$C$29,N('APA Inputs'!$D$29))),'APA Inputs'!$J$29,0)+IF(N('APA Inputs'!$H$29)&gt;0,IF(B$4=EDATE('APA Inputs'!$C$29,'APA Inputs'!$H$29-1),N('APA Inputs'!$G$29),0),0))*IF('APA Inputs'!$I$29="",1,'APA Inputs'!$I$29))</f>
        <v>0</v>
      </c>
      <c r="C14" s="419" t="n">
        <f aca="false">IF('APA Inputs'!$C$29="",0,(IF(AND(C$4&gt;='APA Inputs'!$C$29,C$4&lt;EDATE('APA Inputs'!$C$29,N('APA Inputs'!$D$29))),'APA Inputs'!$J$29,0)+IF(N('APA Inputs'!$H$29)&gt;0,IF(C$4=EDATE('APA Inputs'!$C$29,'APA Inputs'!$H$29-1),N('APA Inputs'!$G$29),0),0))*IF('APA Inputs'!$I$29="",1,'APA Inputs'!$I$29))</f>
        <v>0</v>
      </c>
      <c r="D14" s="419" t="n">
        <f aca="false">IF('APA Inputs'!$C$29="",0,(IF(AND(D$4&gt;='APA Inputs'!$C$29,D$4&lt;EDATE('APA Inputs'!$C$29,N('APA Inputs'!$D$29))),'APA Inputs'!$J$29,0)+IF(N('APA Inputs'!$H$29)&gt;0,IF(D$4=EDATE('APA Inputs'!$C$29,'APA Inputs'!$H$29-1),N('APA Inputs'!$G$29),0),0))*IF('APA Inputs'!$I$29="",1,'APA Inputs'!$I$29))</f>
        <v>0</v>
      </c>
      <c r="E14" s="419" t="n">
        <f aca="false">IF('APA Inputs'!$C$29="",0,(IF(AND(E$4&gt;='APA Inputs'!$C$29,E$4&lt;EDATE('APA Inputs'!$C$29,N('APA Inputs'!$D$29))),'APA Inputs'!$J$29,0)+IF(N('APA Inputs'!$H$29)&gt;0,IF(E$4=EDATE('APA Inputs'!$C$29,'APA Inputs'!$H$29-1),N('APA Inputs'!$G$29),0),0))*IF('APA Inputs'!$I$29="",1,'APA Inputs'!$I$29))</f>
        <v>0</v>
      </c>
      <c r="F14" s="419" t="n">
        <f aca="false">IF('APA Inputs'!$C$29="",0,(IF(AND(F$4&gt;='APA Inputs'!$C$29,F$4&lt;EDATE('APA Inputs'!$C$29,N('APA Inputs'!$D$29))),'APA Inputs'!$J$29,0)+IF(N('APA Inputs'!$H$29)&gt;0,IF(F$4=EDATE('APA Inputs'!$C$29,'APA Inputs'!$H$29-1),N('APA Inputs'!$G$29),0),0))*IF('APA Inputs'!$I$29="",1,'APA Inputs'!$I$29))</f>
        <v>0</v>
      </c>
      <c r="G14" s="419" t="n">
        <f aca="false">IF('APA Inputs'!$C$29="",0,(IF(AND(G$4&gt;='APA Inputs'!$C$29,G$4&lt;EDATE('APA Inputs'!$C$29,N('APA Inputs'!$D$29))),'APA Inputs'!$J$29,0)+IF(N('APA Inputs'!$H$29)&gt;0,IF(G$4=EDATE('APA Inputs'!$C$29,'APA Inputs'!$H$29-1),N('APA Inputs'!$G$29),0),0))*IF('APA Inputs'!$I$29="",1,'APA Inputs'!$I$29))</f>
        <v>0</v>
      </c>
      <c r="H14" s="419" t="n">
        <f aca="false">IF('APA Inputs'!$C$29="",0,(IF(AND(H$4&gt;='APA Inputs'!$C$29,H$4&lt;EDATE('APA Inputs'!$C$29,N('APA Inputs'!$D$29))),'APA Inputs'!$J$29,0)+IF(N('APA Inputs'!$H$29)&gt;0,IF(H$4=EDATE('APA Inputs'!$C$29,'APA Inputs'!$H$29-1),N('APA Inputs'!$G$29),0),0))*IF('APA Inputs'!$I$29="",1,'APA Inputs'!$I$29))</f>
        <v>0</v>
      </c>
      <c r="I14" s="419" t="n">
        <f aca="false">IF('APA Inputs'!$C$29="",0,(IF(AND(I$4&gt;='APA Inputs'!$C$29,I$4&lt;EDATE('APA Inputs'!$C$29,N('APA Inputs'!$D$29))),'APA Inputs'!$J$29,0)+IF(N('APA Inputs'!$H$29)&gt;0,IF(I$4=EDATE('APA Inputs'!$C$29,'APA Inputs'!$H$29-1),N('APA Inputs'!$G$29),0),0))*IF('APA Inputs'!$I$29="",1,'APA Inputs'!$I$29))</f>
        <v>0</v>
      </c>
      <c r="J14" s="419" t="n">
        <f aca="false">IF('APA Inputs'!$C$29="",0,(IF(AND(J$4&gt;='APA Inputs'!$C$29,J$4&lt;EDATE('APA Inputs'!$C$29,N('APA Inputs'!$D$29))),'APA Inputs'!$J$29,0)+IF(N('APA Inputs'!$H$29)&gt;0,IF(J$4=EDATE('APA Inputs'!$C$29,'APA Inputs'!$H$29-1),N('APA Inputs'!$G$29),0),0))*IF('APA Inputs'!$I$29="",1,'APA Inputs'!$I$29))</f>
        <v>0</v>
      </c>
      <c r="K14" s="419" t="n">
        <f aca="false">IF('APA Inputs'!$C$29="",0,(IF(AND(K$4&gt;='APA Inputs'!$C$29,K$4&lt;EDATE('APA Inputs'!$C$29,N('APA Inputs'!$D$29))),'APA Inputs'!$J$29,0)+IF(N('APA Inputs'!$H$29)&gt;0,IF(K$4=EDATE('APA Inputs'!$C$29,'APA Inputs'!$H$29-1),N('APA Inputs'!$G$29),0),0))*IF('APA Inputs'!$I$29="",1,'APA Inputs'!$I$29))</f>
        <v>0</v>
      </c>
      <c r="L14" s="419" t="n">
        <f aca="false">IF('APA Inputs'!$C$29="",0,(IF(AND(L$4&gt;='APA Inputs'!$C$29,L$4&lt;EDATE('APA Inputs'!$C$29,N('APA Inputs'!$D$29))),'APA Inputs'!$J$29,0)+IF(N('APA Inputs'!$H$29)&gt;0,IF(L$4=EDATE('APA Inputs'!$C$29,'APA Inputs'!$H$29-1),N('APA Inputs'!$G$29),0),0))*IF('APA Inputs'!$I$29="",1,'APA Inputs'!$I$29))</f>
        <v>0</v>
      </c>
      <c r="M14" s="419" t="n">
        <f aca="false">IF('APA Inputs'!$C$29="",0,(IF(AND(M$4&gt;='APA Inputs'!$C$29,M$4&lt;EDATE('APA Inputs'!$C$29,N('APA Inputs'!$D$29))),'APA Inputs'!$J$29,0)+IF(N('APA Inputs'!$H$29)&gt;0,IF(M$4=EDATE('APA Inputs'!$C$29,'APA Inputs'!$H$29-1),N('APA Inputs'!$G$29),0),0))*IF('APA Inputs'!$I$29="",1,'APA Inputs'!$I$29))</f>
        <v>0</v>
      </c>
      <c r="N14" s="419" t="n">
        <f aca="false">IF('APA Inputs'!$C$29="",0,(IF(AND(N$4&gt;='APA Inputs'!$C$29,N$4&lt;EDATE('APA Inputs'!$C$29,N('APA Inputs'!$D$29))),'APA Inputs'!$J$29,0)+IF(N('APA Inputs'!$H$29)&gt;0,IF(N$4=EDATE('APA Inputs'!$C$29,'APA Inputs'!$H$29-1),N('APA Inputs'!$G$29),0),0))*IF('APA Inputs'!$I$29="",1,'APA Inputs'!$I$29))</f>
        <v>0</v>
      </c>
      <c r="O14" s="419" t="n">
        <f aca="false">IF('APA Inputs'!$C$29="",0,(IF(AND(O$4&gt;='APA Inputs'!$C$29,O$4&lt;EDATE('APA Inputs'!$C$29,N('APA Inputs'!$D$29))),'APA Inputs'!$J$29,0)+IF(N('APA Inputs'!$H$29)&gt;0,IF(O$4=EDATE('APA Inputs'!$C$29,'APA Inputs'!$H$29-1),N('APA Inputs'!$G$29),0),0))*IF('APA Inputs'!$I$29="",1,'APA Inputs'!$I$29))</f>
        <v>0</v>
      </c>
      <c r="P14" s="419" t="n">
        <f aca="false">IF('APA Inputs'!$C$29="",0,(IF(AND(P$4&gt;='APA Inputs'!$C$29,P$4&lt;EDATE('APA Inputs'!$C$29,N('APA Inputs'!$D$29))),'APA Inputs'!$J$29,0)+IF(N('APA Inputs'!$H$29)&gt;0,IF(P$4=EDATE('APA Inputs'!$C$29,'APA Inputs'!$H$29-1),N('APA Inputs'!$G$29),0),0))*IF('APA Inputs'!$I$29="",1,'APA Inputs'!$I$29))</f>
        <v>0</v>
      </c>
      <c r="Q14" s="419" t="n">
        <f aca="false">IF('APA Inputs'!$C$29="",0,(IF(AND(Q$4&gt;='APA Inputs'!$C$29,Q$4&lt;EDATE('APA Inputs'!$C$29,N('APA Inputs'!$D$29))),'APA Inputs'!$J$29,0)+IF(N('APA Inputs'!$H$29)&gt;0,IF(Q$4=EDATE('APA Inputs'!$C$29,'APA Inputs'!$H$29-1),N('APA Inputs'!$G$29),0),0))*IF('APA Inputs'!$I$29="",1,'APA Inputs'!$I$29))</f>
        <v>0</v>
      </c>
      <c r="R14" s="419" t="n">
        <f aca="false">IF('APA Inputs'!$C$29="",0,(IF(AND(R$4&gt;='APA Inputs'!$C$29,R$4&lt;EDATE('APA Inputs'!$C$29,N('APA Inputs'!$D$29))),'APA Inputs'!$J$29,0)+IF(N('APA Inputs'!$H$29)&gt;0,IF(R$4=EDATE('APA Inputs'!$C$29,'APA Inputs'!$H$29-1),N('APA Inputs'!$G$29),0),0))*IF('APA Inputs'!$I$29="",1,'APA Inputs'!$I$29))</f>
        <v>0</v>
      </c>
      <c r="S14" s="419" t="n">
        <f aca="false">IF('APA Inputs'!$C$29="",0,(IF(AND(S$4&gt;='APA Inputs'!$C$29,S$4&lt;EDATE('APA Inputs'!$C$29,N('APA Inputs'!$D$29))),'APA Inputs'!$J$29,0)+IF(N('APA Inputs'!$H$29)&gt;0,IF(S$4=EDATE('APA Inputs'!$C$29,'APA Inputs'!$H$29-1),N('APA Inputs'!$G$29),0),0))*IF('APA Inputs'!$I$29="",1,'APA Inputs'!$I$29))</f>
        <v>0</v>
      </c>
      <c r="T14" s="419" t="n">
        <f aca="false">IF('APA Inputs'!$C$29="",0,(IF(AND(T$4&gt;='APA Inputs'!$C$29,T$4&lt;EDATE('APA Inputs'!$C$29,N('APA Inputs'!$D$29))),'APA Inputs'!$J$29,0)+IF(N('APA Inputs'!$H$29)&gt;0,IF(T$4=EDATE('APA Inputs'!$C$29,'APA Inputs'!$H$29-1),N('APA Inputs'!$G$29),0),0))*IF('APA Inputs'!$I$29="",1,'APA Inputs'!$I$29))</f>
        <v>0</v>
      </c>
      <c r="U14" s="419" t="n">
        <f aca="false">IF('APA Inputs'!$C$29="",0,(IF(AND(U$4&gt;='APA Inputs'!$C$29,U$4&lt;EDATE('APA Inputs'!$C$29,N('APA Inputs'!$D$29))),'APA Inputs'!$J$29,0)+IF(N('APA Inputs'!$H$29)&gt;0,IF(U$4=EDATE('APA Inputs'!$C$29,'APA Inputs'!$H$29-1),N('APA Inputs'!$G$29),0),0))*IF('APA Inputs'!$I$29="",1,'APA Inputs'!$I$29))</f>
        <v>0</v>
      </c>
      <c r="V14" s="419" t="n">
        <f aca="false">IF('APA Inputs'!$C$29="",0,(IF(AND(V$4&gt;='APA Inputs'!$C$29,V$4&lt;EDATE('APA Inputs'!$C$29,N('APA Inputs'!$D$29))),'APA Inputs'!$J$29,0)+IF(N('APA Inputs'!$H$29)&gt;0,IF(V$4=EDATE('APA Inputs'!$C$29,'APA Inputs'!$H$29-1),N('APA Inputs'!$G$29),0),0))*IF('APA Inputs'!$I$29="",1,'APA Inputs'!$I$29))</f>
        <v>0</v>
      </c>
      <c r="W14" s="419" t="n">
        <f aca="false">IF('APA Inputs'!$C$29="",0,(IF(AND(W$4&gt;='APA Inputs'!$C$29,W$4&lt;EDATE('APA Inputs'!$C$29,N('APA Inputs'!$D$29))),'APA Inputs'!$J$29,0)+IF(N('APA Inputs'!$H$29)&gt;0,IF(W$4=EDATE('APA Inputs'!$C$29,'APA Inputs'!$H$29-1),N('APA Inputs'!$G$29),0),0))*IF('APA Inputs'!$I$29="",1,'APA Inputs'!$I$29))</f>
        <v>0</v>
      </c>
      <c r="X14" s="419" t="n">
        <f aca="false">IF('APA Inputs'!$C$29="",0,(IF(AND(X$4&gt;='APA Inputs'!$C$29,X$4&lt;EDATE('APA Inputs'!$C$29,N('APA Inputs'!$D$29))),'APA Inputs'!$J$29,0)+IF(N('APA Inputs'!$H$29)&gt;0,IF(X$4=EDATE('APA Inputs'!$C$29,'APA Inputs'!$H$29-1),N('APA Inputs'!$G$29),0),0))*IF('APA Inputs'!$I$29="",1,'APA Inputs'!$I$29))</f>
        <v>0</v>
      </c>
      <c r="Y14" s="419" t="n">
        <f aca="false">IF('APA Inputs'!$C$29="",0,(IF(AND(Y$4&gt;='APA Inputs'!$C$29,Y$4&lt;EDATE('APA Inputs'!$C$29,N('APA Inputs'!$D$29))),'APA Inputs'!$J$29,0)+IF(N('APA Inputs'!$H$29)&gt;0,IF(Y$4=EDATE('APA Inputs'!$C$29,'APA Inputs'!$H$29-1),N('APA Inputs'!$G$29),0),0))*IF('APA Inputs'!$I$29="",1,'APA Inputs'!$I$29))</f>
        <v>0</v>
      </c>
      <c r="Z14" s="419" t="n">
        <f aca="false">IF('APA Inputs'!$C$29="",0,(IF(AND(Z$4&gt;='APA Inputs'!$C$29,Z$4&lt;EDATE('APA Inputs'!$C$29,N('APA Inputs'!$D$29))),'APA Inputs'!$J$29,0)+IF(N('APA Inputs'!$H$29)&gt;0,IF(Z$4=EDATE('APA Inputs'!$C$29,'APA Inputs'!$H$29-1),N('APA Inputs'!$G$29),0),0))*IF('APA Inputs'!$I$29="",1,'APA Inputs'!$I$29))</f>
        <v>0</v>
      </c>
      <c r="AA14" s="419" t="n">
        <f aca="false">IF('APA Inputs'!$C$29="",0,(IF(AND(AA$4&gt;='APA Inputs'!$C$29,AA$4&lt;EDATE('APA Inputs'!$C$29,N('APA Inputs'!$D$29))),'APA Inputs'!$J$29,0)+IF(N('APA Inputs'!$H$29)&gt;0,IF(AA$4=EDATE('APA Inputs'!$C$29,'APA Inputs'!$H$29-1),N('APA Inputs'!$G$29),0),0))*IF('APA Inputs'!$I$29="",1,'APA Inputs'!$I$29))</f>
        <v>0</v>
      </c>
      <c r="AB14" s="419" t="n">
        <f aca="false">IF('APA Inputs'!$C$29="",0,(IF(AND(AB$4&gt;='APA Inputs'!$C$29,AB$4&lt;EDATE('APA Inputs'!$C$29,N('APA Inputs'!$D$29))),'APA Inputs'!$J$29,0)+IF(N('APA Inputs'!$H$29)&gt;0,IF(AB$4=EDATE('APA Inputs'!$C$29,'APA Inputs'!$H$29-1),N('APA Inputs'!$G$29),0),0))*IF('APA Inputs'!$I$29="",1,'APA Inputs'!$I$29))</f>
        <v>0</v>
      </c>
      <c r="AC14" s="419" t="n">
        <f aca="false">IF('APA Inputs'!$C$29="",0,(IF(AND(AC$4&gt;='APA Inputs'!$C$29,AC$4&lt;EDATE('APA Inputs'!$C$29,N('APA Inputs'!$D$29))),'APA Inputs'!$J$29,0)+IF(N('APA Inputs'!$H$29)&gt;0,IF(AC$4=EDATE('APA Inputs'!$C$29,'APA Inputs'!$H$29-1),N('APA Inputs'!$G$29),0),0))*IF('APA Inputs'!$I$29="",1,'APA Inputs'!$I$29))</f>
        <v>0</v>
      </c>
      <c r="AD14" s="419" t="n">
        <f aca="false">IF('APA Inputs'!$C$29="",0,(IF(AND(AD$4&gt;='APA Inputs'!$C$29,AD$4&lt;EDATE('APA Inputs'!$C$29,N('APA Inputs'!$D$29))),'APA Inputs'!$J$29,0)+IF(N('APA Inputs'!$H$29)&gt;0,IF(AD$4=EDATE('APA Inputs'!$C$29,'APA Inputs'!$H$29-1),N('APA Inputs'!$G$29),0),0))*IF('APA Inputs'!$I$29="",1,'APA Inputs'!$I$29))</f>
        <v>0</v>
      </c>
      <c r="AE14" s="419" t="n">
        <f aca="false">IF('APA Inputs'!$C$29="",0,(IF(AND(AE$4&gt;='APA Inputs'!$C$29,AE$4&lt;EDATE('APA Inputs'!$C$29,N('APA Inputs'!$D$29))),'APA Inputs'!$J$29,0)+IF(N('APA Inputs'!$H$29)&gt;0,IF(AE$4=EDATE('APA Inputs'!$C$29,'APA Inputs'!$H$29-1),N('APA Inputs'!$G$29),0),0))*IF('APA Inputs'!$I$29="",1,'APA Inputs'!$I$29))</f>
        <v>0</v>
      </c>
      <c r="AF14" s="419" t="n">
        <f aca="false">IF('APA Inputs'!$C$29="",0,(IF(AND(AF$4&gt;='APA Inputs'!$C$29,AF$4&lt;EDATE('APA Inputs'!$C$29,N('APA Inputs'!$D$29))),'APA Inputs'!$J$29,0)+IF(N('APA Inputs'!$H$29)&gt;0,IF(AF$4=EDATE('APA Inputs'!$C$29,'APA Inputs'!$H$29-1),N('APA Inputs'!$G$29),0),0))*IF('APA Inputs'!$I$29="",1,'APA Inputs'!$I$29))</f>
        <v>0</v>
      </c>
      <c r="AG14" s="419" t="n">
        <f aca="false">IF('APA Inputs'!$C$29="",0,(IF(AND(AG$4&gt;='APA Inputs'!$C$29,AG$4&lt;EDATE('APA Inputs'!$C$29,N('APA Inputs'!$D$29))),'APA Inputs'!$J$29,0)+IF(N('APA Inputs'!$H$29)&gt;0,IF(AG$4=EDATE('APA Inputs'!$C$29,'APA Inputs'!$H$29-1),N('APA Inputs'!$G$29),0),0))*IF('APA Inputs'!$I$29="",1,'APA Inputs'!$I$29))</f>
        <v>0</v>
      </c>
      <c r="AH14" s="419" t="n">
        <f aca="false">IF('APA Inputs'!$C$29="",0,(IF(AND(AH$4&gt;='APA Inputs'!$C$29,AH$4&lt;EDATE('APA Inputs'!$C$29,N('APA Inputs'!$D$29))),'APA Inputs'!$J$29,0)+IF(N('APA Inputs'!$H$29)&gt;0,IF(AH$4=EDATE('APA Inputs'!$C$29,'APA Inputs'!$H$29-1),N('APA Inputs'!$G$29),0),0))*IF('APA Inputs'!$I$29="",1,'APA Inputs'!$I$29))</f>
        <v>0</v>
      </c>
      <c r="AI14" s="419" t="n">
        <f aca="false">IF('APA Inputs'!$C$29="",0,(IF(AND(AI$4&gt;='APA Inputs'!$C$29,AI$4&lt;EDATE('APA Inputs'!$C$29,N('APA Inputs'!$D$29))),'APA Inputs'!$J$29,0)+IF(N('APA Inputs'!$H$29)&gt;0,IF(AI$4=EDATE('APA Inputs'!$C$29,'APA Inputs'!$H$29-1),N('APA Inputs'!$G$29),0),0))*IF('APA Inputs'!$I$29="",1,'APA Inputs'!$I$29))</f>
        <v>0</v>
      </c>
      <c r="AJ14" s="419" t="n">
        <f aca="false">IF('APA Inputs'!$C$29="",0,(IF(AND(AJ$4&gt;='APA Inputs'!$C$29,AJ$4&lt;EDATE('APA Inputs'!$C$29,N('APA Inputs'!$D$29))),'APA Inputs'!$J$29,0)+IF(N('APA Inputs'!$H$29)&gt;0,IF(AJ$4=EDATE('APA Inputs'!$C$29,'APA Inputs'!$H$29-1),N('APA Inputs'!$G$29),0),0))*IF('APA Inputs'!$I$29="",1,'APA Inputs'!$I$29))</f>
        <v>0</v>
      </c>
      <c r="AK14" s="419" t="n">
        <f aca="false">IF('APA Inputs'!$C$29="",0,(IF(AND(AK$4&gt;='APA Inputs'!$C$29,AK$4&lt;EDATE('APA Inputs'!$C$29,N('APA Inputs'!$D$29))),'APA Inputs'!$J$29,0)+IF(N('APA Inputs'!$H$29)&gt;0,IF(AK$4=EDATE('APA Inputs'!$C$29,'APA Inputs'!$H$29-1),N('APA Inputs'!$G$29),0),0))*IF('APA Inputs'!$I$29="",1,'APA Inputs'!$I$29))</f>
        <v>0</v>
      </c>
      <c r="AL14" s="419" t="n">
        <f aca="false">IF('APA Inputs'!$C$29="",0,(IF(AND(AL$4&gt;='APA Inputs'!$C$29,AL$4&lt;EDATE('APA Inputs'!$C$29,N('APA Inputs'!$D$29))),'APA Inputs'!$J$29,0)+IF(N('APA Inputs'!$H$29)&gt;0,IF(AL$4=EDATE('APA Inputs'!$C$29,'APA Inputs'!$H$29-1),N('APA Inputs'!$G$29),0),0))*IF('APA Inputs'!$I$29="",1,'APA Inputs'!$I$29))</f>
        <v>0</v>
      </c>
      <c r="AM14" s="419" t="n">
        <f aca="false">IF('APA Inputs'!$C$29="",0,(IF(AND(AM$4&gt;='APA Inputs'!$C$29,AM$4&lt;EDATE('APA Inputs'!$C$29,N('APA Inputs'!$D$29))),'APA Inputs'!$J$29,0)+IF(N('APA Inputs'!$H$29)&gt;0,IF(AM$4=EDATE('APA Inputs'!$C$29,'APA Inputs'!$H$29-1),N('APA Inputs'!$G$29),0),0))*IF('APA Inputs'!$I$29="",1,'APA Inputs'!$I$29))</f>
        <v>0</v>
      </c>
      <c r="AN14" s="419" t="n">
        <f aca="false">IF('APA Inputs'!$C$29="",0,(IF(AND(AN$4&gt;='APA Inputs'!$C$29,AN$4&lt;EDATE('APA Inputs'!$C$29,N('APA Inputs'!$D$29))),'APA Inputs'!$J$29,0)+IF(N('APA Inputs'!$H$29)&gt;0,IF(AN$4=EDATE('APA Inputs'!$C$29,'APA Inputs'!$H$29-1),N('APA Inputs'!$G$29),0),0))*IF('APA Inputs'!$I$29="",1,'APA Inputs'!$I$29))</f>
        <v>0</v>
      </c>
      <c r="AO14" s="419" t="n">
        <f aca="false">IF('APA Inputs'!$C$29="",0,(IF(AND(AO$4&gt;='APA Inputs'!$C$29,AO$4&lt;EDATE('APA Inputs'!$C$29,N('APA Inputs'!$D$29))),'APA Inputs'!$J$29,0)+IF(N('APA Inputs'!$H$29)&gt;0,IF(AO$4=EDATE('APA Inputs'!$C$29,'APA Inputs'!$H$29-1),N('APA Inputs'!$G$29),0),0))*IF('APA Inputs'!$I$29="",1,'APA Inputs'!$I$29))</f>
        <v>0</v>
      </c>
      <c r="AP14" s="419" t="n">
        <f aca="false">IF('APA Inputs'!$C$29="",0,(IF(AND(AP$4&gt;='APA Inputs'!$C$29,AP$4&lt;EDATE('APA Inputs'!$C$29,N('APA Inputs'!$D$29))),'APA Inputs'!$J$29,0)+IF(N('APA Inputs'!$H$29)&gt;0,IF(AP$4=EDATE('APA Inputs'!$C$29,'APA Inputs'!$H$29-1),N('APA Inputs'!$G$29),0),0))*IF('APA Inputs'!$I$29="",1,'APA Inputs'!$I$29))</f>
        <v>0</v>
      </c>
      <c r="AQ14" s="419" t="n">
        <f aca="false">IF('APA Inputs'!$C$29="",0,(IF(AND(AQ$4&gt;='APA Inputs'!$C$29,AQ$4&lt;EDATE('APA Inputs'!$C$29,N('APA Inputs'!$D$29))),'APA Inputs'!$J$29,0)+IF(N('APA Inputs'!$H$29)&gt;0,IF(AQ$4=EDATE('APA Inputs'!$C$29,'APA Inputs'!$H$29-1),N('APA Inputs'!$G$29),0),0))*IF('APA Inputs'!$I$29="",1,'APA Inputs'!$I$29))</f>
        <v>0</v>
      </c>
      <c r="AR14" s="419" t="n">
        <f aca="false">IF('APA Inputs'!$C$29="",0,(IF(AND(AR$4&gt;='APA Inputs'!$C$29,AR$4&lt;EDATE('APA Inputs'!$C$29,N('APA Inputs'!$D$29))),'APA Inputs'!$J$29,0)+IF(N('APA Inputs'!$H$29)&gt;0,IF(AR$4=EDATE('APA Inputs'!$C$29,'APA Inputs'!$H$29-1),N('APA Inputs'!$G$29),0),0))*IF('APA Inputs'!$I$29="",1,'APA Inputs'!$I$29))</f>
        <v>0</v>
      </c>
      <c r="AS14" s="419" t="n">
        <f aca="false">IF('APA Inputs'!$C$29="",0,(IF(AND(AS$4&gt;='APA Inputs'!$C$29,AS$4&lt;EDATE('APA Inputs'!$C$29,N('APA Inputs'!$D$29))),'APA Inputs'!$J$29,0)+IF(N('APA Inputs'!$H$29)&gt;0,IF(AS$4=EDATE('APA Inputs'!$C$29,'APA Inputs'!$H$29-1),N('APA Inputs'!$G$29),0),0))*IF('APA Inputs'!$I$29="",1,'APA Inputs'!$I$29))</f>
        <v>0</v>
      </c>
      <c r="AT14" s="419" t="n">
        <f aca="false">IF('APA Inputs'!$C$29="",0,(IF(AND(AT$4&gt;='APA Inputs'!$C$29,AT$4&lt;EDATE('APA Inputs'!$C$29,N('APA Inputs'!$D$29))),'APA Inputs'!$J$29,0)+IF(N('APA Inputs'!$H$29)&gt;0,IF(AT$4=EDATE('APA Inputs'!$C$29,'APA Inputs'!$H$29-1),N('APA Inputs'!$G$29),0),0))*IF('APA Inputs'!$I$29="",1,'APA Inputs'!$I$29))</f>
        <v>0</v>
      </c>
      <c r="AU14" s="419" t="n">
        <f aca="false">IF('APA Inputs'!$C$29="",0,(IF(AND(AU$4&gt;='APA Inputs'!$C$29,AU$4&lt;EDATE('APA Inputs'!$C$29,N('APA Inputs'!$D$29))),'APA Inputs'!$J$29,0)+IF(N('APA Inputs'!$H$29)&gt;0,IF(AU$4=EDATE('APA Inputs'!$C$29,'APA Inputs'!$H$29-1),N('APA Inputs'!$G$29),0),0))*IF('APA Inputs'!$I$29="",1,'APA Inputs'!$I$29))</f>
        <v>0</v>
      </c>
      <c r="AV14" s="419" t="n">
        <f aca="false">IF('APA Inputs'!$C$29="",0,(IF(AND(AV$4&gt;='APA Inputs'!$C$29,AV$4&lt;EDATE('APA Inputs'!$C$29,N('APA Inputs'!$D$29))),'APA Inputs'!$J$29,0)+IF(N('APA Inputs'!$H$29)&gt;0,IF(AV$4=EDATE('APA Inputs'!$C$29,'APA Inputs'!$H$29-1),N('APA Inputs'!$G$29),0),0))*IF('APA Inputs'!$I$29="",1,'APA Inputs'!$I$29))</f>
        <v>0</v>
      </c>
      <c r="AW14" s="419" t="n">
        <f aca="false">IF('APA Inputs'!$C$29="",0,(IF(AND(AW$4&gt;='APA Inputs'!$C$29,AW$4&lt;EDATE('APA Inputs'!$C$29,N('APA Inputs'!$D$29))),'APA Inputs'!$J$29,0)+IF(N('APA Inputs'!$H$29)&gt;0,IF(AW$4=EDATE('APA Inputs'!$C$29,'APA Inputs'!$H$29-1),N('APA Inputs'!$G$29),0),0))*IF('APA Inputs'!$I$29="",1,'APA Inputs'!$I$29))</f>
        <v>0</v>
      </c>
      <c r="AX14" s="419" t="n">
        <f aca="false">IF('APA Inputs'!$C$29="",0,(IF(AND(AX$4&gt;='APA Inputs'!$C$29,AX$4&lt;EDATE('APA Inputs'!$C$29,N('APA Inputs'!$D$29))),'APA Inputs'!$J$29,0)+IF(N('APA Inputs'!$H$29)&gt;0,IF(AX$4=EDATE('APA Inputs'!$C$29,'APA Inputs'!$H$29-1),N('APA Inputs'!$G$29),0),0))*IF('APA Inputs'!$I$29="",1,'APA Inputs'!$I$29))</f>
        <v>0</v>
      </c>
      <c r="AY14" s="419" t="n">
        <f aca="false">IF('APA Inputs'!$C$29="",0,(IF(AND(AY$4&gt;='APA Inputs'!$C$29,AY$4&lt;EDATE('APA Inputs'!$C$29,N('APA Inputs'!$D$29))),'APA Inputs'!$J$29,0)+IF(N('APA Inputs'!$H$29)&gt;0,IF(AY$4=EDATE('APA Inputs'!$C$29,'APA Inputs'!$H$29-1),N('APA Inputs'!$G$29),0),0))*IF('APA Inputs'!$I$29="",1,'APA Inputs'!$I$29))</f>
        <v>0</v>
      </c>
      <c r="AZ14" s="419" t="n">
        <f aca="false">IF('APA Inputs'!$C$29="",0,(IF(AND(AZ$4&gt;='APA Inputs'!$C$29,AZ$4&lt;EDATE('APA Inputs'!$C$29,N('APA Inputs'!$D$29))),'APA Inputs'!$J$29,0)+IF(N('APA Inputs'!$H$29)&gt;0,IF(AZ$4=EDATE('APA Inputs'!$C$29,'APA Inputs'!$H$29-1),N('APA Inputs'!$G$29),0),0))*IF('APA Inputs'!$I$29="",1,'APA Inputs'!$I$29))</f>
        <v>0</v>
      </c>
      <c r="BA14" s="419" t="n">
        <f aca="false">IF('APA Inputs'!$C$29="",0,(IF(AND(BA$4&gt;='APA Inputs'!$C$29,BA$4&lt;EDATE('APA Inputs'!$C$29,N('APA Inputs'!$D$29))),'APA Inputs'!$J$29,0)+IF(N('APA Inputs'!$H$29)&gt;0,IF(BA$4=EDATE('APA Inputs'!$C$29,'APA Inputs'!$H$29-1),N('APA Inputs'!$G$29),0),0))*IF('APA Inputs'!$I$29="",1,'APA Inputs'!$I$29))</f>
        <v>0</v>
      </c>
      <c r="BB14" s="419" t="n">
        <f aca="false">IF('APA Inputs'!$C$29="",0,(IF(AND(BB$4&gt;='APA Inputs'!$C$29,BB$4&lt;EDATE('APA Inputs'!$C$29,N('APA Inputs'!$D$29))),'APA Inputs'!$J$29,0)+IF(N('APA Inputs'!$H$29)&gt;0,IF(BB$4=EDATE('APA Inputs'!$C$29,'APA Inputs'!$H$29-1),N('APA Inputs'!$G$29),0),0))*IF('APA Inputs'!$I$29="",1,'APA Inputs'!$I$29))</f>
        <v>0</v>
      </c>
      <c r="BC14" s="419" t="n">
        <f aca="false">IF('APA Inputs'!$C$29="",0,(IF(AND(BC$4&gt;='APA Inputs'!$C$29,BC$4&lt;EDATE('APA Inputs'!$C$29,N('APA Inputs'!$D$29))),'APA Inputs'!$J$29,0)+IF(N('APA Inputs'!$H$29)&gt;0,IF(BC$4=EDATE('APA Inputs'!$C$29,'APA Inputs'!$H$29-1),N('APA Inputs'!$G$29),0),0))*IF('APA Inputs'!$I$29="",1,'APA Inputs'!$I$29))</f>
        <v>0</v>
      </c>
      <c r="BD14" s="419" t="n">
        <f aca="false">IF('APA Inputs'!$C$29="",0,(IF(AND(BD$4&gt;='APA Inputs'!$C$29,BD$4&lt;EDATE('APA Inputs'!$C$29,N('APA Inputs'!$D$29))),'APA Inputs'!$J$29,0)+IF(N('APA Inputs'!$H$29)&gt;0,IF(BD$4=EDATE('APA Inputs'!$C$29,'APA Inputs'!$H$29-1),N('APA Inputs'!$G$29),0),0))*IF('APA Inputs'!$I$29="",1,'APA Inputs'!$I$29))</f>
        <v>0</v>
      </c>
      <c r="BE14" s="419" t="n">
        <f aca="false">IF('APA Inputs'!$C$29="",0,(IF(AND(BE$4&gt;='APA Inputs'!$C$29,BE$4&lt;EDATE('APA Inputs'!$C$29,N('APA Inputs'!$D$29))),'APA Inputs'!$J$29,0)+IF(N('APA Inputs'!$H$29)&gt;0,IF(BE$4=EDATE('APA Inputs'!$C$29,'APA Inputs'!$H$29-1),N('APA Inputs'!$G$29),0),0))*IF('APA Inputs'!$I$29="",1,'APA Inputs'!$I$29))</f>
        <v>0</v>
      </c>
      <c r="BF14" s="419" t="n">
        <f aca="false">IF('APA Inputs'!$C$29="",0,(IF(AND(BF$4&gt;='APA Inputs'!$C$29,BF$4&lt;EDATE('APA Inputs'!$C$29,N('APA Inputs'!$D$29))),'APA Inputs'!$J$29,0)+IF(N('APA Inputs'!$H$29)&gt;0,IF(BF$4=EDATE('APA Inputs'!$C$29,'APA Inputs'!$H$29-1),N('APA Inputs'!$G$29),0),0))*IF('APA Inputs'!$I$29="",1,'APA Inputs'!$I$29))</f>
        <v>0</v>
      </c>
      <c r="BG14" s="419" t="n">
        <f aca="false">IF('APA Inputs'!$C$29="",0,(IF(AND(BG$4&gt;='APA Inputs'!$C$29,BG$4&lt;EDATE('APA Inputs'!$C$29,N('APA Inputs'!$D$29))),'APA Inputs'!$J$29,0)+IF(N('APA Inputs'!$H$29)&gt;0,IF(BG$4=EDATE('APA Inputs'!$C$29,'APA Inputs'!$H$29-1),N('APA Inputs'!$G$29),0),0))*IF('APA Inputs'!$I$29="",1,'APA Inputs'!$I$29))</f>
        <v>0</v>
      </c>
      <c r="BH14" s="419" t="n">
        <f aca="false">IF('APA Inputs'!$C$29="",0,(IF(AND(BH$4&gt;='APA Inputs'!$C$29,BH$4&lt;EDATE('APA Inputs'!$C$29,N('APA Inputs'!$D$29))),'APA Inputs'!$J$29,0)+IF(N('APA Inputs'!$H$29)&gt;0,IF(BH$4=EDATE('APA Inputs'!$C$29,'APA Inputs'!$H$29-1),N('APA Inputs'!$G$29),0),0))*IF('APA Inputs'!$I$29="",1,'APA Inputs'!$I$29))</f>
        <v>0</v>
      </c>
      <c r="BI14" s="419" t="n">
        <f aca="false">IF('APA Inputs'!$C$29="",0,(IF(AND(BI$4&gt;='APA Inputs'!$C$29,BI$4&lt;EDATE('APA Inputs'!$C$29,N('APA Inputs'!$D$29))),'APA Inputs'!$J$29,0)+IF(N('APA Inputs'!$H$29)&gt;0,IF(BI$4=EDATE('APA Inputs'!$C$29,'APA Inputs'!$H$29-1),N('APA Inputs'!$G$29),0),0))*IF('APA Inputs'!$I$29="",1,'APA Inputs'!$I$29))</f>
        <v>0</v>
      </c>
      <c r="BJ14" s="419" t="n">
        <f aca="false">IF('APA Inputs'!$C$29="",0,(IF(AND(BJ$4&gt;='APA Inputs'!$C$29,BJ$4&lt;EDATE('APA Inputs'!$C$29,N('APA Inputs'!$D$29))),'APA Inputs'!$J$29,0)+IF(N('APA Inputs'!$H$29)&gt;0,IF(BJ$4=EDATE('APA Inputs'!$C$29,'APA Inputs'!$H$29-1),N('APA Inputs'!$G$29),0),0))*IF('APA Inputs'!$I$29="",1,'APA Inputs'!$I$29))</f>
        <v>0</v>
      </c>
      <c r="BK14" s="419" t="n">
        <f aca="false">IF('APA Inputs'!$C$29="",0,(IF(AND(BK$4&gt;='APA Inputs'!$C$29,BK$4&lt;EDATE('APA Inputs'!$C$29,N('APA Inputs'!$D$29))),'APA Inputs'!$J$29,0)+IF(N('APA Inputs'!$H$29)&gt;0,IF(BK$4=EDATE('APA Inputs'!$C$29,'APA Inputs'!$H$29-1),N('APA Inputs'!$G$29),0),0))*IF('APA Inputs'!$I$29="",1,'APA Inputs'!$I$29))</f>
        <v>0</v>
      </c>
      <c r="BL14" s="419" t="n">
        <f aca="false">IF('APA Inputs'!$C$29="",0,(IF(AND(BL$4&gt;='APA Inputs'!$C$29,BL$4&lt;EDATE('APA Inputs'!$C$29,N('APA Inputs'!$D$29))),'APA Inputs'!$J$29,0)+IF(N('APA Inputs'!$H$29)&gt;0,IF(BL$4=EDATE('APA Inputs'!$C$29,'APA Inputs'!$H$29-1),N('APA Inputs'!$G$29),0),0))*IF('APA Inputs'!$I$29="",1,'APA Inputs'!$I$29))</f>
        <v>0</v>
      </c>
      <c r="BM14" s="419" t="n">
        <f aca="false">IF('APA Inputs'!$C$29="",0,(IF(AND(BM$4&gt;='APA Inputs'!$C$29,BM$4&lt;EDATE('APA Inputs'!$C$29,N('APA Inputs'!$D$29))),'APA Inputs'!$J$29,0)+IF(N('APA Inputs'!$H$29)&gt;0,IF(BM$4=EDATE('APA Inputs'!$C$29,'APA Inputs'!$H$29-1),N('APA Inputs'!$G$29),0),0))*IF('APA Inputs'!$I$29="",1,'APA Inputs'!$I$29))</f>
        <v>0</v>
      </c>
      <c r="BN14" s="419" t="n">
        <f aca="false">IF('APA Inputs'!$C$29="",0,(IF(AND(BN$4&gt;='APA Inputs'!$C$29,BN$4&lt;EDATE('APA Inputs'!$C$29,N('APA Inputs'!$D$29))),'APA Inputs'!$J$29,0)+IF(N('APA Inputs'!$H$29)&gt;0,IF(BN$4=EDATE('APA Inputs'!$C$29,'APA Inputs'!$H$29-1),N('APA Inputs'!$G$29),0),0))*IF('APA Inputs'!$I$29="",1,'APA Inputs'!$I$29))</f>
        <v>0</v>
      </c>
      <c r="BO14" s="419" t="n">
        <f aca="false">IF('APA Inputs'!$C$29="",0,(IF(AND(BO$4&gt;='APA Inputs'!$C$29,BO$4&lt;EDATE('APA Inputs'!$C$29,N('APA Inputs'!$D$29))),'APA Inputs'!$J$29,0)+IF(N('APA Inputs'!$H$29)&gt;0,IF(BO$4=EDATE('APA Inputs'!$C$29,'APA Inputs'!$H$29-1),N('APA Inputs'!$G$29),0),0))*IF('APA Inputs'!$I$29="",1,'APA Inputs'!$I$29))</f>
        <v>0</v>
      </c>
      <c r="BP14" s="419" t="n">
        <f aca="false">IF('APA Inputs'!$C$29="",0,(IF(AND(BP$4&gt;='APA Inputs'!$C$29,BP$4&lt;EDATE('APA Inputs'!$C$29,N('APA Inputs'!$D$29))),'APA Inputs'!$J$29,0)+IF(N('APA Inputs'!$H$29)&gt;0,IF(BP$4=EDATE('APA Inputs'!$C$29,'APA Inputs'!$H$29-1),N('APA Inputs'!$G$29),0),0))*IF('APA Inputs'!$I$29="",1,'APA Inputs'!$I$29))</f>
        <v>0</v>
      </c>
      <c r="BQ14" s="419" t="n">
        <f aca="false">IF('APA Inputs'!$C$29="",0,(IF(AND(BQ$4&gt;='APA Inputs'!$C$29,BQ$4&lt;EDATE('APA Inputs'!$C$29,N('APA Inputs'!$D$29))),'APA Inputs'!$J$29,0)+IF(N('APA Inputs'!$H$29)&gt;0,IF(BQ$4=EDATE('APA Inputs'!$C$29,'APA Inputs'!$H$29-1),N('APA Inputs'!$G$29),0),0))*IF('APA Inputs'!$I$29="",1,'APA Inputs'!$I$29))</f>
        <v>0</v>
      </c>
      <c r="BR14" s="419" t="n">
        <f aca="false">IF('APA Inputs'!$C$29="",0,(IF(AND(BR$4&gt;='APA Inputs'!$C$29,BR$4&lt;EDATE('APA Inputs'!$C$29,N('APA Inputs'!$D$29))),'APA Inputs'!$J$29,0)+IF(N('APA Inputs'!$H$29)&gt;0,IF(BR$4=EDATE('APA Inputs'!$C$29,'APA Inputs'!$H$29-1),N('APA Inputs'!$G$29),0),0))*IF('APA Inputs'!$I$29="",1,'APA Inputs'!$I$29))</f>
        <v>0</v>
      </c>
      <c r="BS14" s="419" t="n">
        <f aca="false">IF('APA Inputs'!$C$29="",0,(IF(AND(BS$4&gt;='APA Inputs'!$C$29,BS$4&lt;EDATE('APA Inputs'!$C$29,N('APA Inputs'!$D$29))),'APA Inputs'!$J$29,0)+IF(N('APA Inputs'!$H$29)&gt;0,IF(BS$4=EDATE('APA Inputs'!$C$29,'APA Inputs'!$H$29-1),N('APA Inputs'!$G$29),0),0))*IF('APA Inputs'!$I$29="",1,'APA Inputs'!$I$29))</f>
        <v>0</v>
      </c>
      <c r="BT14" s="419" t="n">
        <f aca="false">IF('APA Inputs'!$C$29="",0,(IF(AND(BT$4&gt;='APA Inputs'!$C$29,BT$4&lt;EDATE('APA Inputs'!$C$29,N('APA Inputs'!$D$29))),'APA Inputs'!$J$29,0)+IF(N('APA Inputs'!$H$29)&gt;0,IF(BT$4=EDATE('APA Inputs'!$C$29,'APA Inputs'!$H$29-1),N('APA Inputs'!$G$29),0),0))*IF('APA Inputs'!$I$29="",1,'APA Inputs'!$I$29))</f>
        <v>0</v>
      </c>
      <c r="BU14" s="419" t="n">
        <f aca="false">IF('APA Inputs'!$C$29="",0,(IF(AND(BU$4&gt;='APA Inputs'!$C$29,BU$4&lt;EDATE('APA Inputs'!$C$29,N('APA Inputs'!$D$29))),'APA Inputs'!$J$29,0)+IF(N('APA Inputs'!$H$29)&gt;0,IF(BU$4=EDATE('APA Inputs'!$C$29,'APA Inputs'!$H$29-1),N('APA Inputs'!$G$29),0),0))*IF('APA Inputs'!$I$29="",1,'APA Inputs'!$I$29))</f>
        <v>0</v>
      </c>
      <c r="BV14" s="419" t="n">
        <f aca="false">IF('APA Inputs'!$C$29="",0,(IF(AND(BV$4&gt;='APA Inputs'!$C$29,BV$4&lt;EDATE('APA Inputs'!$C$29,N('APA Inputs'!$D$29))),'APA Inputs'!$J$29,0)+IF(N('APA Inputs'!$H$29)&gt;0,IF(BV$4=EDATE('APA Inputs'!$C$29,'APA Inputs'!$H$29-1),N('APA Inputs'!$G$29),0),0))*IF('APA Inputs'!$I$29="",1,'APA Inputs'!$I$29))</f>
        <v>0</v>
      </c>
      <c r="BW14" s="419" t="n">
        <f aca="false">IF('APA Inputs'!$C$29="",0,(IF(AND(BW$4&gt;='APA Inputs'!$C$29,BW$4&lt;EDATE('APA Inputs'!$C$29,N('APA Inputs'!$D$29))),'APA Inputs'!$J$29,0)+IF(N('APA Inputs'!$H$29)&gt;0,IF(BW$4=EDATE('APA Inputs'!$C$29,'APA Inputs'!$H$29-1),N('APA Inputs'!$G$29),0),0))*IF('APA Inputs'!$I$29="",1,'APA Inputs'!$I$29))</f>
        <v>0</v>
      </c>
      <c r="BX14" s="419" t="n">
        <f aca="false">IF('APA Inputs'!$C$29="",0,(IF(AND(BX$4&gt;='APA Inputs'!$C$29,BX$4&lt;EDATE('APA Inputs'!$C$29,N('APA Inputs'!$D$29))),'APA Inputs'!$J$29,0)+IF(N('APA Inputs'!$H$29)&gt;0,IF(BX$4=EDATE('APA Inputs'!$C$29,'APA Inputs'!$H$29-1),N('APA Inputs'!$G$29),0),0))*IF('APA Inputs'!$I$29="",1,'APA Inputs'!$I$29))</f>
        <v>0</v>
      </c>
      <c r="BY14" s="419" t="n">
        <f aca="false">IF('APA Inputs'!$C$29="",0,(IF(AND(BY$4&gt;='APA Inputs'!$C$29,BY$4&lt;EDATE('APA Inputs'!$C$29,N('APA Inputs'!$D$29))),'APA Inputs'!$J$29,0)+IF(N('APA Inputs'!$H$29)&gt;0,IF(BY$4=EDATE('APA Inputs'!$C$29,'APA Inputs'!$H$29-1),N('APA Inputs'!$G$29),0),0))*IF('APA Inputs'!$I$29="",1,'APA Inputs'!$I$29))</f>
        <v>0</v>
      </c>
      <c r="BZ14" s="419" t="n">
        <f aca="false">IF('APA Inputs'!$C$29="",0,(IF(AND(BZ$4&gt;='APA Inputs'!$C$29,BZ$4&lt;EDATE('APA Inputs'!$C$29,N('APA Inputs'!$D$29))),'APA Inputs'!$J$29,0)+IF(N('APA Inputs'!$H$29)&gt;0,IF(BZ$4=EDATE('APA Inputs'!$C$29,'APA Inputs'!$H$29-1),N('APA Inputs'!$G$29),0),0))*IF('APA Inputs'!$I$29="",1,'APA Inputs'!$I$29))</f>
        <v>0</v>
      </c>
      <c r="CA14" s="419" t="n">
        <f aca="false">IF('APA Inputs'!$C$29="",0,(IF(AND(CA$4&gt;='APA Inputs'!$C$29,CA$4&lt;EDATE('APA Inputs'!$C$29,N('APA Inputs'!$D$29))),'APA Inputs'!$J$29,0)+IF(N('APA Inputs'!$H$29)&gt;0,IF(CA$4=EDATE('APA Inputs'!$C$29,'APA Inputs'!$H$29-1),N('APA Inputs'!$G$29),0),0))*IF('APA Inputs'!$I$29="",1,'APA Inputs'!$I$29))</f>
        <v>0</v>
      </c>
      <c r="CB14" s="419" t="n">
        <f aca="false">IF('APA Inputs'!$C$29="",0,(IF(AND(CB$4&gt;='APA Inputs'!$C$29,CB$4&lt;EDATE('APA Inputs'!$C$29,N('APA Inputs'!$D$29))),'APA Inputs'!$J$29,0)+IF(N('APA Inputs'!$H$29)&gt;0,IF(CB$4=EDATE('APA Inputs'!$C$29,'APA Inputs'!$H$29-1),N('APA Inputs'!$G$29),0),0))*IF('APA Inputs'!$I$29="",1,'APA Inputs'!$I$29))</f>
        <v>0</v>
      </c>
      <c r="CC14" s="419" t="n">
        <f aca="false">IF('APA Inputs'!$C$29="",0,(IF(AND(CC$4&gt;='APA Inputs'!$C$29,CC$4&lt;EDATE('APA Inputs'!$C$29,N('APA Inputs'!$D$29))),'APA Inputs'!$J$29,0)+IF(N('APA Inputs'!$H$29)&gt;0,IF(CC$4=EDATE('APA Inputs'!$C$29,'APA Inputs'!$H$29-1),N('APA Inputs'!$G$29),0),0))*IF('APA Inputs'!$I$29="",1,'APA Inputs'!$I$29))</f>
        <v>0</v>
      </c>
      <c r="CD14" s="419" t="n">
        <f aca="false">IF('APA Inputs'!$C$29="",0,(IF(AND(CD$4&gt;='APA Inputs'!$C$29,CD$4&lt;EDATE('APA Inputs'!$C$29,N('APA Inputs'!$D$29))),'APA Inputs'!$J$29,0)+IF(N('APA Inputs'!$H$29)&gt;0,IF(CD$4=EDATE('APA Inputs'!$C$29,'APA Inputs'!$H$29-1),N('APA Inputs'!$G$29),0),0))*IF('APA Inputs'!$I$29="",1,'APA Inputs'!$I$29))</f>
        <v>0</v>
      </c>
      <c r="CE14" s="419" t="n">
        <f aca="false">IF('APA Inputs'!$C$29="",0,(IF(AND(CE$4&gt;='APA Inputs'!$C$29,CE$4&lt;EDATE('APA Inputs'!$C$29,N('APA Inputs'!$D$29))),'APA Inputs'!$J$29,0)+IF(N('APA Inputs'!$H$29)&gt;0,IF(CE$4=EDATE('APA Inputs'!$C$29,'APA Inputs'!$H$29-1),N('APA Inputs'!$G$29),0),0))*IF('APA Inputs'!$I$29="",1,'APA Inputs'!$I$29))</f>
        <v>0</v>
      </c>
      <c r="CF14" s="419" t="n">
        <f aca="false">IF('APA Inputs'!$C$29="",0,(IF(AND(CF$4&gt;='APA Inputs'!$C$29,CF$4&lt;EDATE('APA Inputs'!$C$29,N('APA Inputs'!$D$29))),'APA Inputs'!$J$29,0)+IF(N('APA Inputs'!$H$29)&gt;0,IF(CF$4=EDATE('APA Inputs'!$C$29,'APA Inputs'!$H$29-1),N('APA Inputs'!$G$29),0),0))*IF('APA Inputs'!$I$29="",1,'APA Inputs'!$I$29))</f>
        <v>0</v>
      </c>
      <c r="CG14" s="419" t="n">
        <f aca="false">IF('APA Inputs'!$C$29="",0,(IF(AND(CG$4&gt;='APA Inputs'!$C$29,CG$4&lt;EDATE('APA Inputs'!$C$29,N('APA Inputs'!$D$29))),'APA Inputs'!$J$29,0)+IF(N('APA Inputs'!$H$29)&gt;0,IF(CG$4=EDATE('APA Inputs'!$C$29,'APA Inputs'!$H$29-1),N('APA Inputs'!$G$29),0),0))*IF('APA Inputs'!$I$29="",1,'APA Inputs'!$I$29))</f>
        <v>0</v>
      </c>
      <c r="CH14" s="419" t="n">
        <f aca="false">IF('APA Inputs'!$C$29="",0,(IF(AND(CH$4&gt;='APA Inputs'!$C$29,CH$4&lt;EDATE('APA Inputs'!$C$29,N('APA Inputs'!$D$29))),'APA Inputs'!$J$29,0)+IF(N('APA Inputs'!$H$29)&gt;0,IF(CH$4=EDATE('APA Inputs'!$C$29,'APA Inputs'!$H$29-1),N('APA Inputs'!$G$29),0),0))*IF('APA Inputs'!$I$29="",1,'APA Inputs'!$I$29))</f>
        <v>0</v>
      </c>
      <c r="CI14" s="419" t="n">
        <f aca="false">IF('APA Inputs'!$C$29="",0,(IF(AND(CI$4&gt;='APA Inputs'!$C$29,CI$4&lt;EDATE('APA Inputs'!$C$29,N('APA Inputs'!$D$29))),'APA Inputs'!$J$29,0)+IF(N('APA Inputs'!$H$29)&gt;0,IF(CI$4=EDATE('APA Inputs'!$C$29,'APA Inputs'!$H$29-1),N('APA Inputs'!$G$29),0),0))*IF('APA Inputs'!$I$29="",1,'APA Inputs'!$I$29))</f>
        <v>0</v>
      </c>
      <c r="CJ14" s="419" t="n">
        <f aca="false">IF('APA Inputs'!$C$29="",0,(IF(AND(CJ$4&gt;='APA Inputs'!$C$29,CJ$4&lt;EDATE('APA Inputs'!$C$29,N('APA Inputs'!$D$29))),'APA Inputs'!$J$29,0)+IF(N('APA Inputs'!$H$29)&gt;0,IF(CJ$4=EDATE('APA Inputs'!$C$29,'APA Inputs'!$H$29-1),N('APA Inputs'!$G$29),0),0))*IF('APA Inputs'!$I$29="",1,'APA Inputs'!$I$29))</f>
        <v>0</v>
      </c>
      <c r="CK14" s="419" t="n">
        <f aca="false">IF('APA Inputs'!$C$29="",0,(IF(AND(CK$4&gt;='APA Inputs'!$C$29,CK$4&lt;EDATE('APA Inputs'!$C$29,N('APA Inputs'!$D$29))),'APA Inputs'!$J$29,0)+IF(N('APA Inputs'!$H$29)&gt;0,IF(CK$4=EDATE('APA Inputs'!$C$29,'APA Inputs'!$H$29-1),N('APA Inputs'!$G$29),0),0))*IF('APA Inputs'!$I$29="",1,'APA Inputs'!$I$29))</f>
        <v>0</v>
      </c>
      <c r="CL14" s="419" t="n">
        <f aca="false">IF('APA Inputs'!$C$29="",0,(IF(AND(CL$4&gt;='APA Inputs'!$C$29,CL$4&lt;EDATE('APA Inputs'!$C$29,N('APA Inputs'!$D$29))),'APA Inputs'!$J$29,0)+IF(N('APA Inputs'!$H$29)&gt;0,IF(CL$4=EDATE('APA Inputs'!$C$29,'APA Inputs'!$H$29-1),N('APA Inputs'!$G$29),0),0))*IF('APA Inputs'!$I$29="",1,'APA Inputs'!$I$29))</f>
        <v>0</v>
      </c>
      <c r="CM14" s="419" t="n">
        <f aca="false">IF('APA Inputs'!$C$29="",0,(IF(AND(CM$4&gt;='APA Inputs'!$C$29,CM$4&lt;EDATE('APA Inputs'!$C$29,N('APA Inputs'!$D$29))),'APA Inputs'!$J$29,0)+IF(N('APA Inputs'!$H$29)&gt;0,IF(CM$4=EDATE('APA Inputs'!$C$29,'APA Inputs'!$H$29-1),N('APA Inputs'!$G$29),0),0))*IF('APA Inputs'!$I$29="",1,'APA Inputs'!$I$29))</f>
        <v>0</v>
      </c>
      <c r="CN14" s="419" t="n">
        <f aca="false">IF('APA Inputs'!$C$29="",0,(IF(AND(CN$4&gt;='APA Inputs'!$C$29,CN$4&lt;EDATE('APA Inputs'!$C$29,N('APA Inputs'!$D$29))),'APA Inputs'!$J$29,0)+IF(N('APA Inputs'!$H$29)&gt;0,IF(CN$4=EDATE('APA Inputs'!$C$29,'APA Inputs'!$H$29-1),N('APA Inputs'!$G$29),0),0))*IF('APA Inputs'!$I$29="",1,'APA Inputs'!$I$29))</f>
        <v>0</v>
      </c>
      <c r="CO14" s="419" t="n">
        <f aca="false">IF('APA Inputs'!$C$29="",0,(IF(AND(CO$4&gt;='APA Inputs'!$C$29,CO$4&lt;EDATE('APA Inputs'!$C$29,N('APA Inputs'!$D$29))),'APA Inputs'!$J$29,0)+IF(N('APA Inputs'!$H$29)&gt;0,IF(CO$4=EDATE('APA Inputs'!$C$29,'APA Inputs'!$H$29-1),N('APA Inputs'!$G$29),0),0))*IF('APA Inputs'!$I$29="",1,'APA Inputs'!$I$29))</f>
        <v>0</v>
      </c>
      <c r="CP14" s="419" t="n">
        <f aca="false">IF('APA Inputs'!$C$29="",0,(IF(AND(CP$4&gt;='APA Inputs'!$C$29,CP$4&lt;EDATE('APA Inputs'!$C$29,N('APA Inputs'!$D$29))),'APA Inputs'!$J$29,0)+IF(N('APA Inputs'!$H$29)&gt;0,IF(CP$4=EDATE('APA Inputs'!$C$29,'APA Inputs'!$H$29-1),N('APA Inputs'!$G$29),0),0))*IF('APA Inputs'!$I$29="",1,'APA Inputs'!$I$29))</f>
        <v>0</v>
      </c>
      <c r="CQ14" s="419" t="n">
        <f aca="false">IF('APA Inputs'!$C$29="",0,(IF(AND(CQ$4&gt;='APA Inputs'!$C$29,CQ$4&lt;EDATE('APA Inputs'!$C$29,N('APA Inputs'!$D$29))),'APA Inputs'!$J$29,0)+IF(N('APA Inputs'!$H$29)&gt;0,IF(CQ$4=EDATE('APA Inputs'!$C$29,'APA Inputs'!$H$29-1),N('APA Inputs'!$G$29),0),0))*IF('APA Inputs'!$I$29="",1,'APA Inputs'!$I$29))</f>
        <v>0</v>
      </c>
      <c r="CR14" s="419" t="n">
        <f aca="false">IF('APA Inputs'!$C$29="",0,(IF(AND(CR$4&gt;='APA Inputs'!$C$29,CR$4&lt;EDATE('APA Inputs'!$C$29,N('APA Inputs'!$D$29))),'APA Inputs'!$J$29,0)+IF(N('APA Inputs'!$H$29)&gt;0,IF(CR$4=EDATE('APA Inputs'!$C$29,'APA Inputs'!$H$29-1),N('APA Inputs'!$G$29),0),0))*IF('APA Inputs'!$I$29="",1,'APA Inputs'!$I$29))</f>
        <v>0</v>
      </c>
      <c r="CS14" s="419" t="n">
        <f aca="false">IF('APA Inputs'!$C$29="",0,(IF(AND(CS$4&gt;='APA Inputs'!$C$29,CS$4&lt;EDATE('APA Inputs'!$C$29,N('APA Inputs'!$D$29))),'APA Inputs'!$J$29,0)+IF(N('APA Inputs'!$H$29)&gt;0,IF(CS$4=EDATE('APA Inputs'!$C$29,'APA Inputs'!$H$29-1),N('APA Inputs'!$G$29),0),0))*IF('APA Inputs'!$I$29="",1,'APA Inputs'!$I$29))</f>
        <v>0</v>
      </c>
      <c r="CT14" s="419" t="n">
        <f aca="false">IF('APA Inputs'!$C$29="",0,(IF(AND(CT$4&gt;='APA Inputs'!$C$29,CT$4&lt;EDATE('APA Inputs'!$C$29,N('APA Inputs'!$D$29))),'APA Inputs'!$J$29,0)+IF(N('APA Inputs'!$H$29)&gt;0,IF(CT$4=EDATE('APA Inputs'!$C$29,'APA Inputs'!$H$29-1),N('APA Inputs'!$G$29),0),0))*IF('APA Inputs'!$I$29="",1,'APA Inputs'!$I$29))</f>
        <v>0</v>
      </c>
      <c r="CU14" s="419" t="n">
        <f aca="false">IF('APA Inputs'!$C$29="",0,(IF(AND(CU$4&gt;='APA Inputs'!$C$29,CU$4&lt;EDATE('APA Inputs'!$C$29,N('APA Inputs'!$D$29))),'APA Inputs'!$J$29,0)+IF(N('APA Inputs'!$H$29)&gt;0,IF(CU$4=EDATE('APA Inputs'!$C$29,'APA Inputs'!$H$29-1),N('APA Inputs'!$G$29),0),0))*IF('APA Inputs'!$I$29="",1,'APA Inputs'!$I$29))</f>
        <v>0</v>
      </c>
      <c r="CV14" s="419" t="n">
        <f aca="false">IF('APA Inputs'!$C$29="",0,(IF(AND(CV$4&gt;='APA Inputs'!$C$29,CV$4&lt;EDATE('APA Inputs'!$C$29,N('APA Inputs'!$D$29))),'APA Inputs'!$J$29,0)+IF(N('APA Inputs'!$H$29)&gt;0,IF(CV$4=EDATE('APA Inputs'!$C$29,'APA Inputs'!$H$29-1),N('APA Inputs'!$G$29),0),0))*IF('APA Inputs'!$I$29="",1,'APA Inputs'!$I$29))</f>
        <v>0</v>
      </c>
      <c r="CW14" s="419" t="n">
        <f aca="false">IF('APA Inputs'!$C$29="",0,(IF(AND(CW$4&gt;='APA Inputs'!$C$29,CW$4&lt;EDATE('APA Inputs'!$C$29,N('APA Inputs'!$D$29))),'APA Inputs'!$J$29,0)+IF(N('APA Inputs'!$H$29)&gt;0,IF(CW$4=EDATE('APA Inputs'!$C$29,'APA Inputs'!$H$29-1),N('APA Inputs'!$G$29),0),0))*IF('APA Inputs'!$I$29="",1,'APA Inputs'!$I$29))</f>
        <v>0</v>
      </c>
      <c r="CX14" s="419" t="n">
        <f aca="false">IF('APA Inputs'!$C$29="",0,(IF(AND(CX$4&gt;='APA Inputs'!$C$29,CX$4&lt;EDATE('APA Inputs'!$C$29,N('APA Inputs'!$D$29))),'APA Inputs'!$J$29,0)+IF(N('APA Inputs'!$H$29)&gt;0,IF(CX$4=EDATE('APA Inputs'!$C$29,'APA Inputs'!$H$29-1),N('APA Inputs'!$G$29),0),0))*IF('APA Inputs'!$I$29="",1,'APA Inputs'!$I$29))</f>
        <v>0</v>
      </c>
      <c r="CY14" s="419" t="n">
        <f aca="false">IF('APA Inputs'!$C$29="",0,(IF(AND(CY$4&gt;='APA Inputs'!$C$29,CY$4&lt;EDATE('APA Inputs'!$C$29,N('APA Inputs'!$D$29))),'APA Inputs'!$J$29,0)+IF(N('APA Inputs'!$H$29)&gt;0,IF(CY$4=EDATE('APA Inputs'!$C$29,'APA Inputs'!$H$29-1),N('APA Inputs'!$G$29),0),0))*IF('APA Inputs'!$I$29="",1,'APA Inputs'!$I$29))</f>
        <v>0</v>
      </c>
      <c r="CZ14" s="419" t="n">
        <f aca="false">IF('APA Inputs'!$C$29="",0,(IF(AND(CZ$4&gt;='APA Inputs'!$C$29,CZ$4&lt;EDATE('APA Inputs'!$C$29,N('APA Inputs'!$D$29))),'APA Inputs'!$J$29,0)+IF(N('APA Inputs'!$H$29)&gt;0,IF(CZ$4=EDATE('APA Inputs'!$C$29,'APA Inputs'!$H$29-1),N('APA Inputs'!$G$29),0),0))*IF('APA Inputs'!$I$29="",1,'APA Inputs'!$I$29))</f>
        <v>0</v>
      </c>
      <c r="DA14" s="419" t="n">
        <f aca="false">IF('APA Inputs'!$C$29="",0,(IF(AND(DA$4&gt;='APA Inputs'!$C$29,DA$4&lt;EDATE('APA Inputs'!$C$29,N('APA Inputs'!$D$29))),'APA Inputs'!$J$29,0)+IF(N('APA Inputs'!$H$29)&gt;0,IF(DA$4=EDATE('APA Inputs'!$C$29,'APA Inputs'!$H$29-1),N('APA Inputs'!$G$29),0),0))*IF('APA Inputs'!$I$29="",1,'APA Inputs'!$I$29))</f>
        <v>0</v>
      </c>
      <c r="DB14" s="419" t="n">
        <f aca="false">IF('APA Inputs'!$C$29="",0,(IF(AND(DB$4&gt;='APA Inputs'!$C$29,DB$4&lt;EDATE('APA Inputs'!$C$29,N('APA Inputs'!$D$29))),'APA Inputs'!$J$29,0)+IF(N('APA Inputs'!$H$29)&gt;0,IF(DB$4=EDATE('APA Inputs'!$C$29,'APA Inputs'!$H$29-1),N('APA Inputs'!$G$29),0),0))*IF('APA Inputs'!$I$29="",1,'APA Inputs'!$I$29))</f>
        <v>0</v>
      </c>
      <c r="DC14" s="419" t="n">
        <f aca="false">IF('APA Inputs'!$C$29="",0,(IF(AND(DC$4&gt;='APA Inputs'!$C$29,DC$4&lt;EDATE('APA Inputs'!$C$29,N('APA Inputs'!$D$29))),'APA Inputs'!$J$29,0)+IF(N('APA Inputs'!$H$29)&gt;0,IF(DC$4=EDATE('APA Inputs'!$C$29,'APA Inputs'!$H$29-1),N('APA Inputs'!$G$29),0),0))*IF('APA Inputs'!$I$29="",1,'APA Inputs'!$I$29))</f>
        <v>0</v>
      </c>
      <c r="DD14" s="419" t="n">
        <f aca="false">IF('APA Inputs'!$C$29="",0,(IF(AND(DD$4&gt;='APA Inputs'!$C$29,DD$4&lt;EDATE('APA Inputs'!$C$29,N('APA Inputs'!$D$29))),'APA Inputs'!$J$29,0)+IF(N('APA Inputs'!$H$29)&gt;0,IF(DD$4=EDATE('APA Inputs'!$C$29,'APA Inputs'!$H$29-1),N('APA Inputs'!$G$29),0),0))*IF('APA Inputs'!$I$29="",1,'APA Inputs'!$I$29))</f>
        <v>0</v>
      </c>
      <c r="DE14" s="419"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19" t="n">
        <f aca="false">IF('APA Inputs'!$C$30="",0,(IF(AND(B$4&gt;='APA Inputs'!$C$30,B$4&lt;EDATE('APA Inputs'!$C$30,N('APA Inputs'!$D$30))),'APA Inputs'!$J$30,0)+IF(N('APA Inputs'!$H$30)&gt;0,IF(B$4=EDATE('APA Inputs'!$C$30,'APA Inputs'!$H$30-1),N('APA Inputs'!$G$30),0),0))*IF('APA Inputs'!$I$30="",1,'APA Inputs'!$I$30))</f>
        <v>0</v>
      </c>
      <c r="C15" s="419" t="n">
        <f aca="false">IF('APA Inputs'!$C$30="",0,(IF(AND(C$4&gt;='APA Inputs'!$C$30,C$4&lt;EDATE('APA Inputs'!$C$30,N('APA Inputs'!$D$30))),'APA Inputs'!$J$30,0)+IF(N('APA Inputs'!$H$30)&gt;0,IF(C$4=EDATE('APA Inputs'!$C$30,'APA Inputs'!$H$30-1),N('APA Inputs'!$G$30),0),0))*IF('APA Inputs'!$I$30="",1,'APA Inputs'!$I$30))</f>
        <v>0</v>
      </c>
      <c r="D15" s="419" t="n">
        <f aca="false">IF('APA Inputs'!$C$30="",0,(IF(AND(D$4&gt;='APA Inputs'!$C$30,D$4&lt;EDATE('APA Inputs'!$C$30,N('APA Inputs'!$D$30))),'APA Inputs'!$J$30,0)+IF(N('APA Inputs'!$H$30)&gt;0,IF(D$4=EDATE('APA Inputs'!$C$30,'APA Inputs'!$H$30-1),N('APA Inputs'!$G$30),0),0))*IF('APA Inputs'!$I$30="",1,'APA Inputs'!$I$30))</f>
        <v>0</v>
      </c>
      <c r="E15" s="419" t="n">
        <f aca="false">IF('APA Inputs'!$C$30="",0,(IF(AND(E$4&gt;='APA Inputs'!$C$30,E$4&lt;EDATE('APA Inputs'!$C$30,N('APA Inputs'!$D$30))),'APA Inputs'!$J$30,0)+IF(N('APA Inputs'!$H$30)&gt;0,IF(E$4=EDATE('APA Inputs'!$C$30,'APA Inputs'!$H$30-1),N('APA Inputs'!$G$30),0),0))*IF('APA Inputs'!$I$30="",1,'APA Inputs'!$I$30))</f>
        <v>0</v>
      </c>
      <c r="F15" s="419" t="n">
        <f aca="false">IF('APA Inputs'!$C$30="",0,(IF(AND(F$4&gt;='APA Inputs'!$C$30,F$4&lt;EDATE('APA Inputs'!$C$30,N('APA Inputs'!$D$30))),'APA Inputs'!$J$30,0)+IF(N('APA Inputs'!$H$30)&gt;0,IF(F$4=EDATE('APA Inputs'!$C$30,'APA Inputs'!$H$30-1),N('APA Inputs'!$G$30),0),0))*IF('APA Inputs'!$I$30="",1,'APA Inputs'!$I$30))</f>
        <v>0</v>
      </c>
      <c r="G15" s="419" t="n">
        <f aca="false">IF('APA Inputs'!$C$30="",0,(IF(AND(G$4&gt;='APA Inputs'!$C$30,G$4&lt;EDATE('APA Inputs'!$C$30,N('APA Inputs'!$D$30))),'APA Inputs'!$J$30,0)+IF(N('APA Inputs'!$H$30)&gt;0,IF(G$4=EDATE('APA Inputs'!$C$30,'APA Inputs'!$H$30-1),N('APA Inputs'!$G$30),0),0))*IF('APA Inputs'!$I$30="",1,'APA Inputs'!$I$30))</f>
        <v>0</v>
      </c>
      <c r="H15" s="419" t="n">
        <f aca="false">IF('APA Inputs'!$C$30="",0,(IF(AND(H$4&gt;='APA Inputs'!$C$30,H$4&lt;EDATE('APA Inputs'!$C$30,N('APA Inputs'!$D$30))),'APA Inputs'!$J$30,0)+IF(N('APA Inputs'!$H$30)&gt;0,IF(H$4=EDATE('APA Inputs'!$C$30,'APA Inputs'!$H$30-1),N('APA Inputs'!$G$30),0),0))*IF('APA Inputs'!$I$30="",1,'APA Inputs'!$I$30))</f>
        <v>0</v>
      </c>
      <c r="I15" s="419" t="n">
        <f aca="false">IF('APA Inputs'!$C$30="",0,(IF(AND(I$4&gt;='APA Inputs'!$C$30,I$4&lt;EDATE('APA Inputs'!$C$30,N('APA Inputs'!$D$30))),'APA Inputs'!$J$30,0)+IF(N('APA Inputs'!$H$30)&gt;0,IF(I$4=EDATE('APA Inputs'!$C$30,'APA Inputs'!$H$30-1),N('APA Inputs'!$G$30),0),0))*IF('APA Inputs'!$I$30="",1,'APA Inputs'!$I$30))</f>
        <v>0</v>
      </c>
      <c r="J15" s="419" t="n">
        <f aca="false">IF('APA Inputs'!$C$30="",0,(IF(AND(J$4&gt;='APA Inputs'!$C$30,J$4&lt;EDATE('APA Inputs'!$C$30,N('APA Inputs'!$D$30))),'APA Inputs'!$J$30,0)+IF(N('APA Inputs'!$H$30)&gt;0,IF(J$4=EDATE('APA Inputs'!$C$30,'APA Inputs'!$H$30-1),N('APA Inputs'!$G$30),0),0))*IF('APA Inputs'!$I$30="",1,'APA Inputs'!$I$30))</f>
        <v>0</v>
      </c>
      <c r="K15" s="419" t="n">
        <f aca="false">IF('APA Inputs'!$C$30="",0,(IF(AND(K$4&gt;='APA Inputs'!$C$30,K$4&lt;EDATE('APA Inputs'!$C$30,N('APA Inputs'!$D$30))),'APA Inputs'!$J$30,0)+IF(N('APA Inputs'!$H$30)&gt;0,IF(K$4=EDATE('APA Inputs'!$C$30,'APA Inputs'!$H$30-1),N('APA Inputs'!$G$30),0),0))*IF('APA Inputs'!$I$30="",1,'APA Inputs'!$I$30))</f>
        <v>0</v>
      </c>
      <c r="L15" s="419" t="n">
        <f aca="false">IF('APA Inputs'!$C$30="",0,(IF(AND(L$4&gt;='APA Inputs'!$C$30,L$4&lt;EDATE('APA Inputs'!$C$30,N('APA Inputs'!$D$30))),'APA Inputs'!$J$30,0)+IF(N('APA Inputs'!$H$30)&gt;0,IF(L$4=EDATE('APA Inputs'!$C$30,'APA Inputs'!$H$30-1),N('APA Inputs'!$G$30),0),0))*IF('APA Inputs'!$I$30="",1,'APA Inputs'!$I$30))</f>
        <v>0</v>
      </c>
      <c r="M15" s="419" t="n">
        <f aca="false">IF('APA Inputs'!$C$30="",0,(IF(AND(M$4&gt;='APA Inputs'!$C$30,M$4&lt;EDATE('APA Inputs'!$C$30,N('APA Inputs'!$D$30))),'APA Inputs'!$J$30,0)+IF(N('APA Inputs'!$H$30)&gt;0,IF(M$4=EDATE('APA Inputs'!$C$30,'APA Inputs'!$H$30-1),N('APA Inputs'!$G$30),0),0))*IF('APA Inputs'!$I$30="",1,'APA Inputs'!$I$30))</f>
        <v>0</v>
      </c>
      <c r="N15" s="419" t="n">
        <f aca="false">IF('APA Inputs'!$C$30="",0,(IF(AND(N$4&gt;='APA Inputs'!$C$30,N$4&lt;EDATE('APA Inputs'!$C$30,N('APA Inputs'!$D$30))),'APA Inputs'!$J$30,0)+IF(N('APA Inputs'!$H$30)&gt;0,IF(N$4=EDATE('APA Inputs'!$C$30,'APA Inputs'!$H$30-1),N('APA Inputs'!$G$30),0),0))*IF('APA Inputs'!$I$30="",1,'APA Inputs'!$I$30))</f>
        <v>0</v>
      </c>
      <c r="O15" s="419" t="n">
        <f aca="false">IF('APA Inputs'!$C$30="",0,(IF(AND(O$4&gt;='APA Inputs'!$C$30,O$4&lt;EDATE('APA Inputs'!$C$30,N('APA Inputs'!$D$30))),'APA Inputs'!$J$30,0)+IF(N('APA Inputs'!$H$30)&gt;0,IF(O$4=EDATE('APA Inputs'!$C$30,'APA Inputs'!$H$30-1),N('APA Inputs'!$G$30),0),0))*IF('APA Inputs'!$I$30="",1,'APA Inputs'!$I$30))</f>
        <v>0</v>
      </c>
      <c r="P15" s="419" t="n">
        <f aca="false">IF('APA Inputs'!$C$30="",0,(IF(AND(P$4&gt;='APA Inputs'!$C$30,P$4&lt;EDATE('APA Inputs'!$C$30,N('APA Inputs'!$D$30))),'APA Inputs'!$J$30,0)+IF(N('APA Inputs'!$H$30)&gt;0,IF(P$4=EDATE('APA Inputs'!$C$30,'APA Inputs'!$H$30-1),N('APA Inputs'!$G$30),0),0))*IF('APA Inputs'!$I$30="",1,'APA Inputs'!$I$30))</f>
        <v>0</v>
      </c>
      <c r="Q15" s="419" t="n">
        <f aca="false">IF('APA Inputs'!$C$30="",0,(IF(AND(Q$4&gt;='APA Inputs'!$C$30,Q$4&lt;EDATE('APA Inputs'!$C$30,N('APA Inputs'!$D$30))),'APA Inputs'!$J$30,0)+IF(N('APA Inputs'!$H$30)&gt;0,IF(Q$4=EDATE('APA Inputs'!$C$30,'APA Inputs'!$H$30-1),N('APA Inputs'!$G$30),0),0))*IF('APA Inputs'!$I$30="",1,'APA Inputs'!$I$30))</f>
        <v>0</v>
      </c>
      <c r="R15" s="419" t="n">
        <f aca="false">IF('APA Inputs'!$C$30="",0,(IF(AND(R$4&gt;='APA Inputs'!$C$30,R$4&lt;EDATE('APA Inputs'!$C$30,N('APA Inputs'!$D$30))),'APA Inputs'!$J$30,0)+IF(N('APA Inputs'!$H$30)&gt;0,IF(R$4=EDATE('APA Inputs'!$C$30,'APA Inputs'!$H$30-1),N('APA Inputs'!$G$30),0),0))*IF('APA Inputs'!$I$30="",1,'APA Inputs'!$I$30))</f>
        <v>0</v>
      </c>
      <c r="S15" s="419" t="n">
        <f aca="false">IF('APA Inputs'!$C$30="",0,(IF(AND(S$4&gt;='APA Inputs'!$C$30,S$4&lt;EDATE('APA Inputs'!$C$30,N('APA Inputs'!$D$30))),'APA Inputs'!$J$30,0)+IF(N('APA Inputs'!$H$30)&gt;0,IF(S$4=EDATE('APA Inputs'!$C$30,'APA Inputs'!$H$30-1),N('APA Inputs'!$G$30),0),0))*IF('APA Inputs'!$I$30="",1,'APA Inputs'!$I$30))</f>
        <v>0</v>
      </c>
      <c r="T15" s="419" t="n">
        <f aca="false">IF('APA Inputs'!$C$30="",0,(IF(AND(T$4&gt;='APA Inputs'!$C$30,T$4&lt;EDATE('APA Inputs'!$C$30,N('APA Inputs'!$D$30))),'APA Inputs'!$J$30,0)+IF(N('APA Inputs'!$H$30)&gt;0,IF(T$4=EDATE('APA Inputs'!$C$30,'APA Inputs'!$H$30-1),N('APA Inputs'!$G$30),0),0))*IF('APA Inputs'!$I$30="",1,'APA Inputs'!$I$30))</f>
        <v>0</v>
      </c>
      <c r="U15" s="419" t="n">
        <f aca="false">IF('APA Inputs'!$C$30="",0,(IF(AND(U$4&gt;='APA Inputs'!$C$30,U$4&lt;EDATE('APA Inputs'!$C$30,N('APA Inputs'!$D$30))),'APA Inputs'!$J$30,0)+IF(N('APA Inputs'!$H$30)&gt;0,IF(U$4=EDATE('APA Inputs'!$C$30,'APA Inputs'!$H$30-1),N('APA Inputs'!$G$30),0),0))*IF('APA Inputs'!$I$30="",1,'APA Inputs'!$I$30))</f>
        <v>0</v>
      </c>
      <c r="V15" s="419" t="n">
        <f aca="false">IF('APA Inputs'!$C$30="",0,(IF(AND(V$4&gt;='APA Inputs'!$C$30,V$4&lt;EDATE('APA Inputs'!$C$30,N('APA Inputs'!$D$30))),'APA Inputs'!$J$30,0)+IF(N('APA Inputs'!$H$30)&gt;0,IF(V$4=EDATE('APA Inputs'!$C$30,'APA Inputs'!$H$30-1),N('APA Inputs'!$G$30),0),0))*IF('APA Inputs'!$I$30="",1,'APA Inputs'!$I$30))</f>
        <v>0</v>
      </c>
      <c r="W15" s="419" t="n">
        <f aca="false">IF('APA Inputs'!$C$30="",0,(IF(AND(W$4&gt;='APA Inputs'!$C$30,W$4&lt;EDATE('APA Inputs'!$C$30,N('APA Inputs'!$D$30))),'APA Inputs'!$J$30,0)+IF(N('APA Inputs'!$H$30)&gt;0,IF(W$4=EDATE('APA Inputs'!$C$30,'APA Inputs'!$H$30-1),N('APA Inputs'!$G$30),0),0))*IF('APA Inputs'!$I$30="",1,'APA Inputs'!$I$30))</f>
        <v>0</v>
      </c>
      <c r="X15" s="419" t="n">
        <f aca="false">IF('APA Inputs'!$C$30="",0,(IF(AND(X$4&gt;='APA Inputs'!$C$30,X$4&lt;EDATE('APA Inputs'!$C$30,N('APA Inputs'!$D$30))),'APA Inputs'!$J$30,0)+IF(N('APA Inputs'!$H$30)&gt;0,IF(X$4=EDATE('APA Inputs'!$C$30,'APA Inputs'!$H$30-1),N('APA Inputs'!$G$30),0),0))*IF('APA Inputs'!$I$30="",1,'APA Inputs'!$I$30))</f>
        <v>0</v>
      </c>
      <c r="Y15" s="419" t="n">
        <f aca="false">IF('APA Inputs'!$C$30="",0,(IF(AND(Y$4&gt;='APA Inputs'!$C$30,Y$4&lt;EDATE('APA Inputs'!$C$30,N('APA Inputs'!$D$30))),'APA Inputs'!$J$30,0)+IF(N('APA Inputs'!$H$30)&gt;0,IF(Y$4=EDATE('APA Inputs'!$C$30,'APA Inputs'!$H$30-1),N('APA Inputs'!$G$30),0),0))*IF('APA Inputs'!$I$30="",1,'APA Inputs'!$I$30))</f>
        <v>0</v>
      </c>
      <c r="Z15" s="419" t="n">
        <f aca="false">IF('APA Inputs'!$C$30="",0,(IF(AND(Z$4&gt;='APA Inputs'!$C$30,Z$4&lt;EDATE('APA Inputs'!$C$30,N('APA Inputs'!$D$30))),'APA Inputs'!$J$30,0)+IF(N('APA Inputs'!$H$30)&gt;0,IF(Z$4=EDATE('APA Inputs'!$C$30,'APA Inputs'!$H$30-1),N('APA Inputs'!$G$30),0),0))*IF('APA Inputs'!$I$30="",1,'APA Inputs'!$I$30))</f>
        <v>0</v>
      </c>
      <c r="AA15" s="419" t="n">
        <f aca="false">IF('APA Inputs'!$C$30="",0,(IF(AND(AA$4&gt;='APA Inputs'!$C$30,AA$4&lt;EDATE('APA Inputs'!$C$30,N('APA Inputs'!$D$30))),'APA Inputs'!$J$30,0)+IF(N('APA Inputs'!$H$30)&gt;0,IF(AA$4=EDATE('APA Inputs'!$C$30,'APA Inputs'!$H$30-1),N('APA Inputs'!$G$30),0),0))*IF('APA Inputs'!$I$30="",1,'APA Inputs'!$I$30))</f>
        <v>0</v>
      </c>
      <c r="AB15" s="419" t="n">
        <f aca="false">IF('APA Inputs'!$C$30="",0,(IF(AND(AB$4&gt;='APA Inputs'!$C$30,AB$4&lt;EDATE('APA Inputs'!$C$30,N('APA Inputs'!$D$30))),'APA Inputs'!$J$30,0)+IF(N('APA Inputs'!$H$30)&gt;0,IF(AB$4=EDATE('APA Inputs'!$C$30,'APA Inputs'!$H$30-1),N('APA Inputs'!$G$30),0),0))*IF('APA Inputs'!$I$30="",1,'APA Inputs'!$I$30))</f>
        <v>0</v>
      </c>
      <c r="AC15" s="419" t="n">
        <f aca="false">IF('APA Inputs'!$C$30="",0,(IF(AND(AC$4&gt;='APA Inputs'!$C$30,AC$4&lt;EDATE('APA Inputs'!$C$30,N('APA Inputs'!$D$30))),'APA Inputs'!$J$30,0)+IF(N('APA Inputs'!$H$30)&gt;0,IF(AC$4=EDATE('APA Inputs'!$C$30,'APA Inputs'!$H$30-1),N('APA Inputs'!$G$30),0),0))*IF('APA Inputs'!$I$30="",1,'APA Inputs'!$I$30))</f>
        <v>0</v>
      </c>
      <c r="AD15" s="419" t="n">
        <f aca="false">IF('APA Inputs'!$C$30="",0,(IF(AND(AD$4&gt;='APA Inputs'!$C$30,AD$4&lt;EDATE('APA Inputs'!$C$30,N('APA Inputs'!$D$30))),'APA Inputs'!$J$30,0)+IF(N('APA Inputs'!$H$30)&gt;0,IF(AD$4=EDATE('APA Inputs'!$C$30,'APA Inputs'!$H$30-1),N('APA Inputs'!$G$30),0),0))*IF('APA Inputs'!$I$30="",1,'APA Inputs'!$I$30))</f>
        <v>0</v>
      </c>
      <c r="AE15" s="419" t="n">
        <f aca="false">IF('APA Inputs'!$C$30="",0,(IF(AND(AE$4&gt;='APA Inputs'!$C$30,AE$4&lt;EDATE('APA Inputs'!$C$30,N('APA Inputs'!$D$30))),'APA Inputs'!$J$30,0)+IF(N('APA Inputs'!$H$30)&gt;0,IF(AE$4=EDATE('APA Inputs'!$C$30,'APA Inputs'!$H$30-1),N('APA Inputs'!$G$30),0),0))*IF('APA Inputs'!$I$30="",1,'APA Inputs'!$I$30))</f>
        <v>0</v>
      </c>
      <c r="AF15" s="419" t="n">
        <f aca="false">IF('APA Inputs'!$C$30="",0,(IF(AND(AF$4&gt;='APA Inputs'!$C$30,AF$4&lt;EDATE('APA Inputs'!$C$30,N('APA Inputs'!$D$30))),'APA Inputs'!$J$30,0)+IF(N('APA Inputs'!$H$30)&gt;0,IF(AF$4=EDATE('APA Inputs'!$C$30,'APA Inputs'!$H$30-1),N('APA Inputs'!$G$30),0),0))*IF('APA Inputs'!$I$30="",1,'APA Inputs'!$I$30))</f>
        <v>0</v>
      </c>
      <c r="AG15" s="419" t="n">
        <f aca="false">IF('APA Inputs'!$C$30="",0,(IF(AND(AG$4&gt;='APA Inputs'!$C$30,AG$4&lt;EDATE('APA Inputs'!$C$30,N('APA Inputs'!$D$30))),'APA Inputs'!$J$30,0)+IF(N('APA Inputs'!$H$30)&gt;0,IF(AG$4=EDATE('APA Inputs'!$C$30,'APA Inputs'!$H$30-1),N('APA Inputs'!$G$30),0),0))*IF('APA Inputs'!$I$30="",1,'APA Inputs'!$I$30))</f>
        <v>0</v>
      </c>
      <c r="AH15" s="419" t="n">
        <f aca="false">IF('APA Inputs'!$C$30="",0,(IF(AND(AH$4&gt;='APA Inputs'!$C$30,AH$4&lt;EDATE('APA Inputs'!$C$30,N('APA Inputs'!$D$30))),'APA Inputs'!$J$30,0)+IF(N('APA Inputs'!$H$30)&gt;0,IF(AH$4=EDATE('APA Inputs'!$C$30,'APA Inputs'!$H$30-1),N('APA Inputs'!$G$30),0),0))*IF('APA Inputs'!$I$30="",1,'APA Inputs'!$I$30))</f>
        <v>0</v>
      </c>
      <c r="AI15" s="419" t="n">
        <f aca="false">IF('APA Inputs'!$C$30="",0,(IF(AND(AI$4&gt;='APA Inputs'!$C$30,AI$4&lt;EDATE('APA Inputs'!$C$30,N('APA Inputs'!$D$30))),'APA Inputs'!$J$30,0)+IF(N('APA Inputs'!$H$30)&gt;0,IF(AI$4=EDATE('APA Inputs'!$C$30,'APA Inputs'!$H$30-1),N('APA Inputs'!$G$30),0),0))*IF('APA Inputs'!$I$30="",1,'APA Inputs'!$I$30))</f>
        <v>0</v>
      </c>
      <c r="AJ15" s="419" t="n">
        <f aca="false">IF('APA Inputs'!$C$30="",0,(IF(AND(AJ$4&gt;='APA Inputs'!$C$30,AJ$4&lt;EDATE('APA Inputs'!$C$30,N('APA Inputs'!$D$30))),'APA Inputs'!$J$30,0)+IF(N('APA Inputs'!$H$30)&gt;0,IF(AJ$4=EDATE('APA Inputs'!$C$30,'APA Inputs'!$H$30-1),N('APA Inputs'!$G$30),0),0))*IF('APA Inputs'!$I$30="",1,'APA Inputs'!$I$30))</f>
        <v>0</v>
      </c>
      <c r="AK15" s="419" t="n">
        <f aca="false">IF('APA Inputs'!$C$30="",0,(IF(AND(AK$4&gt;='APA Inputs'!$C$30,AK$4&lt;EDATE('APA Inputs'!$C$30,N('APA Inputs'!$D$30))),'APA Inputs'!$J$30,0)+IF(N('APA Inputs'!$H$30)&gt;0,IF(AK$4=EDATE('APA Inputs'!$C$30,'APA Inputs'!$H$30-1),N('APA Inputs'!$G$30),0),0))*IF('APA Inputs'!$I$30="",1,'APA Inputs'!$I$30))</f>
        <v>0</v>
      </c>
      <c r="AL15" s="419" t="n">
        <f aca="false">IF('APA Inputs'!$C$30="",0,(IF(AND(AL$4&gt;='APA Inputs'!$C$30,AL$4&lt;EDATE('APA Inputs'!$C$30,N('APA Inputs'!$D$30))),'APA Inputs'!$J$30,0)+IF(N('APA Inputs'!$H$30)&gt;0,IF(AL$4=EDATE('APA Inputs'!$C$30,'APA Inputs'!$H$30-1),N('APA Inputs'!$G$30),0),0))*IF('APA Inputs'!$I$30="",1,'APA Inputs'!$I$30))</f>
        <v>0</v>
      </c>
      <c r="AM15" s="419" t="n">
        <f aca="false">IF('APA Inputs'!$C$30="",0,(IF(AND(AM$4&gt;='APA Inputs'!$C$30,AM$4&lt;EDATE('APA Inputs'!$C$30,N('APA Inputs'!$D$30))),'APA Inputs'!$J$30,0)+IF(N('APA Inputs'!$H$30)&gt;0,IF(AM$4=EDATE('APA Inputs'!$C$30,'APA Inputs'!$H$30-1),N('APA Inputs'!$G$30),0),0))*IF('APA Inputs'!$I$30="",1,'APA Inputs'!$I$30))</f>
        <v>0</v>
      </c>
      <c r="AN15" s="419" t="n">
        <f aca="false">IF('APA Inputs'!$C$30="",0,(IF(AND(AN$4&gt;='APA Inputs'!$C$30,AN$4&lt;EDATE('APA Inputs'!$C$30,N('APA Inputs'!$D$30))),'APA Inputs'!$J$30,0)+IF(N('APA Inputs'!$H$30)&gt;0,IF(AN$4=EDATE('APA Inputs'!$C$30,'APA Inputs'!$H$30-1),N('APA Inputs'!$G$30),0),0))*IF('APA Inputs'!$I$30="",1,'APA Inputs'!$I$30))</f>
        <v>0</v>
      </c>
      <c r="AO15" s="419" t="n">
        <f aca="false">IF('APA Inputs'!$C$30="",0,(IF(AND(AO$4&gt;='APA Inputs'!$C$30,AO$4&lt;EDATE('APA Inputs'!$C$30,N('APA Inputs'!$D$30))),'APA Inputs'!$J$30,0)+IF(N('APA Inputs'!$H$30)&gt;0,IF(AO$4=EDATE('APA Inputs'!$C$30,'APA Inputs'!$H$30-1),N('APA Inputs'!$G$30),0),0))*IF('APA Inputs'!$I$30="",1,'APA Inputs'!$I$30))</f>
        <v>0</v>
      </c>
      <c r="AP15" s="419" t="n">
        <f aca="false">IF('APA Inputs'!$C$30="",0,(IF(AND(AP$4&gt;='APA Inputs'!$C$30,AP$4&lt;EDATE('APA Inputs'!$C$30,N('APA Inputs'!$D$30))),'APA Inputs'!$J$30,0)+IF(N('APA Inputs'!$H$30)&gt;0,IF(AP$4=EDATE('APA Inputs'!$C$30,'APA Inputs'!$H$30-1),N('APA Inputs'!$G$30),0),0))*IF('APA Inputs'!$I$30="",1,'APA Inputs'!$I$30))</f>
        <v>0</v>
      </c>
      <c r="AQ15" s="419" t="n">
        <f aca="false">IF('APA Inputs'!$C$30="",0,(IF(AND(AQ$4&gt;='APA Inputs'!$C$30,AQ$4&lt;EDATE('APA Inputs'!$C$30,N('APA Inputs'!$D$30))),'APA Inputs'!$J$30,0)+IF(N('APA Inputs'!$H$30)&gt;0,IF(AQ$4=EDATE('APA Inputs'!$C$30,'APA Inputs'!$H$30-1),N('APA Inputs'!$G$30),0),0))*IF('APA Inputs'!$I$30="",1,'APA Inputs'!$I$30))</f>
        <v>0</v>
      </c>
      <c r="AR15" s="419" t="n">
        <f aca="false">IF('APA Inputs'!$C$30="",0,(IF(AND(AR$4&gt;='APA Inputs'!$C$30,AR$4&lt;EDATE('APA Inputs'!$C$30,N('APA Inputs'!$D$30))),'APA Inputs'!$J$30,0)+IF(N('APA Inputs'!$H$30)&gt;0,IF(AR$4=EDATE('APA Inputs'!$C$30,'APA Inputs'!$H$30-1),N('APA Inputs'!$G$30),0),0))*IF('APA Inputs'!$I$30="",1,'APA Inputs'!$I$30))</f>
        <v>0</v>
      </c>
      <c r="AS15" s="419" t="n">
        <f aca="false">IF('APA Inputs'!$C$30="",0,(IF(AND(AS$4&gt;='APA Inputs'!$C$30,AS$4&lt;EDATE('APA Inputs'!$C$30,N('APA Inputs'!$D$30))),'APA Inputs'!$J$30,0)+IF(N('APA Inputs'!$H$30)&gt;0,IF(AS$4=EDATE('APA Inputs'!$C$30,'APA Inputs'!$H$30-1),N('APA Inputs'!$G$30),0),0))*IF('APA Inputs'!$I$30="",1,'APA Inputs'!$I$30))</f>
        <v>0</v>
      </c>
      <c r="AT15" s="419" t="n">
        <f aca="false">IF('APA Inputs'!$C$30="",0,(IF(AND(AT$4&gt;='APA Inputs'!$C$30,AT$4&lt;EDATE('APA Inputs'!$C$30,N('APA Inputs'!$D$30))),'APA Inputs'!$J$30,0)+IF(N('APA Inputs'!$H$30)&gt;0,IF(AT$4=EDATE('APA Inputs'!$C$30,'APA Inputs'!$H$30-1),N('APA Inputs'!$G$30),0),0))*IF('APA Inputs'!$I$30="",1,'APA Inputs'!$I$30))</f>
        <v>0</v>
      </c>
      <c r="AU15" s="419" t="n">
        <f aca="false">IF('APA Inputs'!$C$30="",0,(IF(AND(AU$4&gt;='APA Inputs'!$C$30,AU$4&lt;EDATE('APA Inputs'!$C$30,N('APA Inputs'!$D$30))),'APA Inputs'!$J$30,0)+IF(N('APA Inputs'!$H$30)&gt;0,IF(AU$4=EDATE('APA Inputs'!$C$30,'APA Inputs'!$H$30-1),N('APA Inputs'!$G$30),0),0))*IF('APA Inputs'!$I$30="",1,'APA Inputs'!$I$30))</f>
        <v>0</v>
      </c>
      <c r="AV15" s="419" t="n">
        <f aca="false">IF('APA Inputs'!$C$30="",0,(IF(AND(AV$4&gt;='APA Inputs'!$C$30,AV$4&lt;EDATE('APA Inputs'!$C$30,N('APA Inputs'!$D$30))),'APA Inputs'!$J$30,0)+IF(N('APA Inputs'!$H$30)&gt;0,IF(AV$4=EDATE('APA Inputs'!$C$30,'APA Inputs'!$H$30-1),N('APA Inputs'!$G$30),0),0))*IF('APA Inputs'!$I$30="",1,'APA Inputs'!$I$30))</f>
        <v>0</v>
      </c>
      <c r="AW15" s="419" t="n">
        <f aca="false">IF('APA Inputs'!$C$30="",0,(IF(AND(AW$4&gt;='APA Inputs'!$C$30,AW$4&lt;EDATE('APA Inputs'!$C$30,N('APA Inputs'!$D$30))),'APA Inputs'!$J$30,0)+IF(N('APA Inputs'!$H$30)&gt;0,IF(AW$4=EDATE('APA Inputs'!$C$30,'APA Inputs'!$H$30-1),N('APA Inputs'!$G$30),0),0))*IF('APA Inputs'!$I$30="",1,'APA Inputs'!$I$30))</f>
        <v>0</v>
      </c>
      <c r="AX15" s="419" t="n">
        <f aca="false">IF('APA Inputs'!$C$30="",0,(IF(AND(AX$4&gt;='APA Inputs'!$C$30,AX$4&lt;EDATE('APA Inputs'!$C$30,N('APA Inputs'!$D$30))),'APA Inputs'!$J$30,0)+IF(N('APA Inputs'!$H$30)&gt;0,IF(AX$4=EDATE('APA Inputs'!$C$30,'APA Inputs'!$H$30-1),N('APA Inputs'!$G$30),0),0))*IF('APA Inputs'!$I$30="",1,'APA Inputs'!$I$30))</f>
        <v>0</v>
      </c>
      <c r="AY15" s="419" t="n">
        <f aca="false">IF('APA Inputs'!$C$30="",0,(IF(AND(AY$4&gt;='APA Inputs'!$C$30,AY$4&lt;EDATE('APA Inputs'!$C$30,N('APA Inputs'!$D$30))),'APA Inputs'!$J$30,0)+IF(N('APA Inputs'!$H$30)&gt;0,IF(AY$4=EDATE('APA Inputs'!$C$30,'APA Inputs'!$H$30-1),N('APA Inputs'!$G$30),0),0))*IF('APA Inputs'!$I$30="",1,'APA Inputs'!$I$30))</f>
        <v>0</v>
      </c>
      <c r="AZ15" s="419" t="n">
        <f aca="false">IF('APA Inputs'!$C$30="",0,(IF(AND(AZ$4&gt;='APA Inputs'!$C$30,AZ$4&lt;EDATE('APA Inputs'!$C$30,N('APA Inputs'!$D$30))),'APA Inputs'!$J$30,0)+IF(N('APA Inputs'!$H$30)&gt;0,IF(AZ$4=EDATE('APA Inputs'!$C$30,'APA Inputs'!$H$30-1),N('APA Inputs'!$G$30),0),0))*IF('APA Inputs'!$I$30="",1,'APA Inputs'!$I$30))</f>
        <v>0</v>
      </c>
      <c r="BA15" s="419" t="n">
        <f aca="false">IF('APA Inputs'!$C$30="",0,(IF(AND(BA$4&gt;='APA Inputs'!$C$30,BA$4&lt;EDATE('APA Inputs'!$C$30,N('APA Inputs'!$D$30))),'APA Inputs'!$J$30,0)+IF(N('APA Inputs'!$H$30)&gt;0,IF(BA$4=EDATE('APA Inputs'!$C$30,'APA Inputs'!$H$30-1),N('APA Inputs'!$G$30),0),0))*IF('APA Inputs'!$I$30="",1,'APA Inputs'!$I$30))</f>
        <v>0</v>
      </c>
      <c r="BB15" s="419" t="n">
        <f aca="false">IF('APA Inputs'!$C$30="",0,(IF(AND(BB$4&gt;='APA Inputs'!$C$30,BB$4&lt;EDATE('APA Inputs'!$C$30,N('APA Inputs'!$D$30))),'APA Inputs'!$J$30,0)+IF(N('APA Inputs'!$H$30)&gt;0,IF(BB$4=EDATE('APA Inputs'!$C$30,'APA Inputs'!$H$30-1),N('APA Inputs'!$G$30),0),0))*IF('APA Inputs'!$I$30="",1,'APA Inputs'!$I$30))</f>
        <v>0</v>
      </c>
      <c r="BC15" s="419" t="n">
        <f aca="false">IF('APA Inputs'!$C$30="",0,(IF(AND(BC$4&gt;='APA Inputs'!$C$30,BC$4&lt;EDATE('APA Inputs'!$C$30,N('APA Inputs'!$D$30))),'APA Inputs'!$J$30,0)+IF(N('APA Inputs'!$H$30)&gt;0,IF(BC$4=EDATE('APA Inputs'!$C$30,'APA Inputs'!$H$30-1),N('APA Inputs'!$G$30),0),0))*IF('APA Inputs'!$I$30="",1,'APA Inputs'!$I$30))</f>
        <v>0</v>
      </c>
      <c r="BD15" s="419" t="n">
        <f aca="false">IF('APA Inputs'!$C$30="",0,(IF(AND(BD$4&gt;='APA Inputs'!$C$30,BD$4&lt;EDATE('APA Inputs'!$C$30,N('APA Inputs'!$D$30))),'APA Inputs'!$J$30,0)+IF(N('APA Inputs'!$H$30)&gt;0,IF(BD$4=EDATE('APA Inputs'!$C$30,'APA Inputs'!$H$30-1),N('APA Inputs'!$G$30),0),0))*IF('APA Inputs'!$I$30="",1,'APA Inputs'!$I$30))</f>
        <v>0</v>
      </c>
      <c r="BE15" s="419" t="n">
        <f aca="false">IF('APA Inputs'!$C$30="",0,(IF(AND(BE$4&gt;='APA Inputs'!$C$30,BE$4&lt;EDATE('APA Inputs'!$C$30,N('APA Inputs'!$D$30))),'APA Inputs'!$J$30,0)+IF(N('APA Inputs'!$H$30)&gt;0,IF(BE$4=EDATE('APA Inputs'!$C$30,'APA Inputs'!$H$30-1),N('APA Inputs'!$G$30),0),0))*IF('APA Inputs'!$I$30="",1,'APA Inputs'!$I$30))</f>
        <v>0</v>
      </c>
      <c r="BF15" s="419" t="n">
        <f aca="false">IF('APA Inputs'!$C$30="",0,(IF(AND(BF$4&gt;='APA Inputs'!$C$30,BF$4&lt;EDATE('APA Inputs'!$C$30,N('APA Inputs'!$D$30))),'APA Inputs'!$J$30,0)+IF(N('APA Inputs'!$H$30)&gt;0,IF(BF$4=EDATE('APA Inputs'!$C$30,'APA Inputs'!$H$30-1),N('APA Inputs'!$G$30),0),0))*IF('APA Inputs'!$I$30="",1,'APA Inputs'!$I$30))</f>
        <v>0</v>
      </c>
      <c r="BG15" s="419" t="n">
        <f aca="false">IF('APA Inputs'!$C$30="",0,(IF(AND(BG$4&gt;='APA Inputs'!$C$30,BG$4&lt;EDATE('APA Inputs'!$C$30,N('APA Inputs'!$D$30))),'APA Inputs'!$J$30,0)+IF(N('APA Inputs'!$H$30)&gt;0,IF(BG$4=EDATE('APA Inputs'!$C$30,'APA Inputs'!$H$30-1),N('APA Inputs'!$G$30),0),0))*IF('APA Inputs'!$I$30="",1,'APA Inputs'!$I$30))</f>
        <v>0</v>
      </c>
      <c r="BH15" s="419" t="n">
        <f aca="false">IF('APA Inputs'!$C$30="",0,(IF(AND(BH$4&gt;='APA Inputs'!$C$30,BH$4&lt;EDATE('APA Inputs'!$C$30,N('APA Inputs'!$D$30))),'APA Inputs'!$J$30,0)+IF(N('APA Inputs'!$H$30)&gt;0,IF(BH$4=EDATE('APA Inputs'!$C$30,'APA Inputs'!$H$30-1),N('APA Inputs'!$G$30),0),0))*IF('APA Inputs'!$I$30="",1,'APA Inputs'!$I$30))</f>
        <v>0</v>
      </c>
      <c r="BI15" s="419" t="n">
        <f aca="false">IF('APA Inputs'!$C$30="",0,(IF(AND(BI$4&gt;='APA Inputs'!$C$30,BI$4&lt;EDATE('APA Inputs'!$C$30,N('APA Inputs'!$D$30))),'APA Inputs'!$J$30,0)+IF(N('APA Inputs'!$H$30)&gt;0,IF(BI$4=EDATE('APA Inputs'!$C$30,'APA Inputs'!$H$30-1),N('APA Inputs'!$G$30),0),0))*IF('APA Inputs'!$I$30="",1,'APA Inputs'!$I$30))</f>
        <v>0</v>
      </c>
      <c r="BJ15" s="419" t="n">
        <f aca="false">IF('APA Inputs'!$C$30="",0,(IF(AND(BJ$4&gt;='APA Inputs'!$C$30,BJ$4&lt;EDATE('APA Inputs'!$C$30,N('APA Inputs'!$D$30))),'APA Inputs'!$J$30,0)+IF(N('APA Inputs'!$H$30)&gt;0,IF(BJ$4=EDATE('APA Inputs'!$C$30,'APA Inputs'!$H$30-1),N('APA Inputs'!$G$30),0),0))*IF('APA Inputs'!$I$30="",1,'APA Inputs'!$I$30))</f>
        <v>0</v>
      </c>
      <c r="BK15" s="419" t="n">
        <f aca="false">IF('APA Inputs'!$C$30="",0,(IF(AND(BK$4&gt;='APA Inputs'!$C$30,BK$4&lt;EDATE('APA Inputs'!$C$30,N('APA Inputs'!$D$30))),'APA Inputs'!$J$30,0)+IF(N('APA Inputs'!$H$30)&gt;0,IF(BK$4=EDATE('APA Inputs'!$C$30,'APA Inputs'!$H$30-1),N('APA Inputs'!$G$30),0),0))*IF('APA Inputs'!$I$30="",1,'APA Inputs'!$I$30))</f>
        <v>0</v>
      </c>
      <c r="BL15" s="419" t="n">
        <f aca="false">IF('APA Inputs'!$C$30="",0,(IF(AND(BL$4&gt;='APA Inputs'!$C$30,BL$4&lt;EDATE('APA Inputs'!$C$30,N('APA Inputs'!$D$30))),'APA Inputs'!$J$30,0)+IF(N('APA Inputs'!$H$30)&gt;0,IF(BL$4=EDATE('APA Inputs'!$C$30,'APA Inputs'!$H$30-1),N('APA Inputs'!$G$30),0),0))*IF('APA Inputs'!$I$30="",1,'APA Inputs'!$I$30))</f>
        <v>0</v>
      </c>
      <c r="BM15" s="419" t="n">
        <f aca="false">IF('APA Inputs'!$C$30="",0,(IF(AND(BM$4&gt;='APA Inputs'!$C$30,BM$4&lt;EDATE('APA Inputs'!$C$30,N('APA Inputs'!$D$30))),'APA Inputs'!$J$30,0)+IF(N('APA Inputs'!$H$30)&gt;0,IF(BM$4=EDATE('APA Inputs'!$C$30,'APA Inputs'!$H$30-1),N('APA Inputs'!$G$30),0),0))*IF('APA Inputs'!$I$30="",1,'APA Inputs'!$I$30))</f>
        <v>0</v>
      </c>
      <c r="BN15" s="419" t="n">
        <f aca="false">IF('APA Inputs'!$C$30="",0,(IF(AND(BN$4&gt;='APA Inputs'!$C$30,BN$4&lt;EDATE('APA Inputs'!$C$30,N('APA Inputs'!$D$30))),'APA Inputs'!$J$30,0)+IF(N('APA Inputs'!$H$30)&gt;0,IF(BN$4=EDATE('APA Inputs'!$C$30,'APA Inputs'!$H$30-1),N('APA Inputs'!$G$30),0),0))*IF('APA Inputs'!$I$30="",1,'APA Inputs'!$I$30))</f>
        <v>0</v>
      </c>
      <c r="BO15" s="419" t="n">
        <f aca="false">IF('APA Inputs'!$C$30="",0,(IF(AND(BO$4&gt;='APA Inputs'!$C$30,BO$4&lt;EDATE('APA Inputs'!$C$30,N('APA Inputs'!$D$30))),'APA Inputs'!$J$30,0)+IF(N('APA Inputs'!$H$30)&gt;0,IF(BO$4=EDATE('APA Inputs'!$C$30,'APA Inputs'!$H$30-1),N('APA Inputs'!$G$30),0),0))*IF('APA Inputs'!$I$30="",1,'APA Inputs'!$I$30))</f>
        <v>0</v>
      </c>
      <c r="BP15" s="419" t="n">
        <f aca="false">IF('APA Inputs'!$C$30="",0,(IF(AND(BP$4&gt;='APA Inputs'!$C$30,BP$4&lt;EDATE('APA Inputs'!$C$30,N('APA Inputs'!$D$30))),'APA Inputs'!$J$30,0)+IF(N('APA Inputs'!$H$30)&gt;0,IF(BP$4=EDATE('APA Inputs'!$C$30,'APA Inputs'!$H$30-1),N('APA Inputs'!$G$30),0),0))*IF('APA Inputs'!$I$30="",1,'APA Inputs'!$I$30))</f>
        <v>0</v>
      </c>
      <c r="BQ15" s="419" t="n">
        <f aca="false">IF('APA Inputs'!$C$30="",0,(IF(AND(BQ$4&gt;='APA Inputs'!$C$30,BQ$4&lt;EDATE('APA Inputs'!$C$30,N('APA Inputs'!$D$30))),'APA Inputs'!$J$30,0)+IF(N('APA Inputs'!$H$30)&gt;0,IF(BQ$4=EDATE('APA Inputs'!$C$30,'APA Inputs'!$H$30-1),N('APA Inputs'!$G$30),0),0))*IF('APA Inputs'!$I$30="",1,'APA Inputs'!$I$30))</f>
        <v>0</v>
      </c>
      <c r="BR15" s="419" t="n">
        <f aca="false">IF('APA Inputs'!$C$30="",0,(IF(AND(BR$4&gt;='APA Inputs'!$C$30,BR$4&lt;EDATE('APA Inputs'!$C$30,N('APA Inputs'!$D$30))),'APA Inputs'!$J$30,0)+IF(N('APA Inputs'!$H$30)&gt;0,IF(BR$4=EDATE('APA Inputs'!$C$30,'APA Inputs'!$H$30-1),N('APA Inputs'!$G$30),0),0))*IF('APA Inputs'!$I$30="",1,'APA Inputs'!$I$30))</f>
        <v>0</v>
      </c>
      <c r="BS15" s="419" t="n">
        <f aca="false">IF('APA Inputs'!$C$30="",0,(IF(AND(BS$4&gt;='APA Inputs'!$C$30,BS$4&lt;EDATE('APA Inputs'!$C$30,N('APA Inputs'!$D$30))),'APA Inputs'!$J$30,0)+IF(N('APA Inputs'!$H$30)&gt;0,IF(BS$4=EDATE('APA Inputs'!$C$30,'APA Inputs'!$H$30-1),N('APA Inputs'!$G$30),0),0))*IF('APA Inputs'!$I$30="",1,'APA Inputs'!$I$30))</f>
        <v>0</v>
      </c>
      <c r="BT15" s="419" t="n">
        <f aca="false">IF('APA Inputs'!$C$30="",0,(IF(AND(BT$4&gt;='APA Inputs'!$C$30,BT$4&lt;EDATE('APA Inputs'!$C$30,N('APA Inputs'!$D$30))),'APA Inputs'!$J$30,0)+IF(N('APA Inputs'!$H$30)&gt;0,IF(BT$4=EDATE('APA Inputs'!$C$30,'APA Inputs'!$H$30-1),N('APA Inputs'!$G$30),0),0))*IF('APA Inputs'!$I$30="",1,'APA Inputs'!$I$30))</f>
        <v>0</v>
      </c>
      <c r="BU15" s="419" t="n">
        <f aca="false">IF('APA Inputs'!$C$30="",0,(IF(AND(BU$4&gt;='APA Inputs'!$C$30,BU$4&lt;EDATE('APA Inputs'!$C$30,N('APA Inputs'!$D$30))),'APA Inputs'!$J$30,0)+IF(N('APA Inputs'!$H$30)&gt;0,IF(BU$4=EDATE('APA Inputs'!$C$30,'APA Inputs'!$H$30-1),N('APA Inputs'!$G$30),0),0))*IF('APA Inputs'!$I$30="",1,'APA Inputs'!$I$30))</f>
        <v>0</v>
      </c>
      <c r="BV15" s="419" t="n">
        <f aca="false">IF('APA Inputs'!$C$30="",0,(IF(AND(BV$4&gt;='APA Inputs'!$C$30,BV$4&lt;EDATE('APA Inputs'!$C$30,N('APA Inputs'!$D$30))),'APA Inputs'!$J$30,0)+IF(N('APA Inputs'!$H$30)&gt;0,IF(BV$4=EDATE('APA Inputs'!$C$30,'APA Inputs'!$H$30-1),N('APA Inputs'!$G$30),0),0))*IF('APA Inputs'!$I$30="",1,'APA Inputs'!$I$30))</f>
        <v>0</v>
      </c>
      <c r="BW15" s="419" t="n">
        <f aca="false">IF('APA Inputs'!$C$30="",0,(IF(AND(BW$4&gt;='APA Inputs'!$C$30,BW$4&lt;EDATE('APA Inputs'!$C$30,N('APA Inputs'!$D$30))),'APA Inputs'!$J$30,0)+IF(N('APA Inputs'!$H$30)&gt;0,IF(BW$4=EDATE('APA Inputs'!$C$30,'APA Inputs'!$H$30-1),N('APA Inputs'!$G$30),0),0))*IF('APA Inputs'!$I$30="",1,'APA Inputs'!$I$30))</f>
        <v>0</v>
      </c>
      <c r="BX15" s="419" t="n">
        <f aca="false">IF('APA Inputs'!$C$30="",0,(IF(AND(BX$4&gt;='APA Inputs'!$C$30,BX$4&lt;EDATE('APA Inputs'!$C$30,N('APA Inputs'!$D$30))),'APA Inputs'!$J$30,0)+IF(N('APA Inputs'!$H$30)&gt;0,IF(BX$4=EDATE('APA Inputs'!$C$30,'APA Inputs'!$H$30-1),N('APA Inputs'!$G$30),0),0))*IF('APA Inputs'!$I$30="",1,'APA Inputs'!$I$30))</f>
        <v>0</v>
      </c>
      <c r="BY15" s="419" t="n">
        <f aca="false">IF('APA Inputs'!$C$30="",0,(IF(AND(BY$4&gt;='APA Inputs'!$C$30,BY$4&lt;EDATE('APA Inputs'!$C$30,N('APA Inputs'!$D$30))),'APA Inputs'!$J$30,0)+IF(N('APA Inputs'!$H$30)&gt;0,IF(BY$4=EDATE('APA Inputs'!$C$30,'APA Inputs'!$H$30-1),N('APA Inputs'!$G$30),0),0))*IF('APA Inputs'!$I$30="",1,'APA Inputs'!$I$30))</f>
        <v>0</v>
      </c>
      <c r="BZ15" s="419" t="n">
        <f aca="false">IF('APA Inputs'!$C$30="",0,(IF(AND(BZ$4&gt;='APA Inputs'!$C$30,BZ$4&lt;EDATE('APA Inputs'!$C$30,N('APA Inputs'!$D$30))),'APA Inputs'!$J$30,0)+IF(N('APA Inputs'!$H$30)&gt;0,IF(BZ$4=EDATE('APA Inputs'!$C$30,'APA Inputs'!$H$30-1),N('APA Inputs'!$G$30),0),0))*IF('APA Inputs'!$I$30="",1,'APA Inputs'!$I$30))</f>
        <v>0</v>
      </c>
      <c r="CA15" s="419" t="n">
        <f aca="false">IF('APA Inputs'!$C$30="",0,(IF(AND(CA$4&gt;='APA Inputs'!$C$30,CA$4&lt;EDATE('APA Inputs'!$C$30,N('APA Inputs'!$D$30))),'APA Inputs'!$J$30,0)+IF(N('APA Inputs'!$H$30)&gt;0,IF(CA$4=EDATE('APA Inputs'!$C$30,'APA Inputs'!$H$30-1),N('APA Inputs'!$G$30),0),0))*IF('APA Inputs'!$I$30="",1,'APA Inputs'!$I$30))</f>
        <v>0</v>
      </c>
      <c r="CB15" s="419" t="n">
        <f aca="false">IF('APA Inputs'!$C$30="",0,(IF(AND(CB$4&gt;='APA Inputs'!$C$30,CB$4&lt;EDATE('APA Inputs'!$C$30,N('APA Inputs'!$D$30))),'APA Inputs'!$J$30,0)+IF(N('APA Inputs'!$H$30)&gt;0,IF(CB$4=EDATE('APA Inputs'!$C$30,'APA Inputs'!$H$30-1),N('APA Inputs'!$G$30),0),0))*IF('APA Inputs'!$I$30="",1,'APA Inputs'!$I$30))</f>
        <v>0</v>
      </c>
      <c r="CC15" s="419" t="n">
        <f aca="false">IF('APA Inputs'!$C$30="",0,(IF(AND(CC$4&gt;='APA Inputs'!$C$30,CC$4&lt;EDATE('APA Inputs'!$C$30,N('APA Inputs'!$D$30))),'APA Inputs'!$J$30,0)+IF(N('APA Inputs'!$H$30)&gt;0,IF(CC$4=EDATE('APA Inputs'!$C$30,'APA Inputs'!$H$30-1),N('APA Inputs'!$G$30),0),0))*IF('APA Inputs'!$I$30="",1,'APA Inputs'!$I$30))</f>
        <v>0</v>
      </c>
      <c r="CD15" s="419" t="n">
        <f aca="false">IF('APA Inputs'!$C$30="",0,(IF(AND(CD$4&gt;='APA Inputs'!$C$30,CD$4&lt;EDATE('APA Inputs'!$C$30,N('APA Inputs'!$D$30))),'APA Inputs'!$J$30,0)+IF(N('APA Inputs'!$H$30)&gt;0,IF(CD$4=EDATE('APA Inputs'!$C$30,'APA Inputs'!$H$30-1),N('APA Inputs'!$G$30),0),0))*IF('APA Inputs'!$I$30="",1,'APA Inputs'!$I$30))</f>
        <v>0</v>
      </c>
      <c r="CE15" s="419" t="n">
        <f aca="false">IF('APA Inputs'!$C$30="",0,(IF(AND(CE$4&gt;='APA Inputs'!$C$30,CE$4&lt;EDATE('APA Inputs'!$C$30,N('APA Inputs'!$D$30))),'APA Inputs'!$J$30,0)+IF(N('APA Inputs'!$H$30)&gt;0,IF(CE$4=EDATE('APA Inputs'!$C$30,'APA Inputs'!$H$30-1),N('APA Inputs'!$G$30),0),0))*IF('APA Inputs'!$I$30="",1,'APA Inputs'!$I$30))</f>
        <v>0</v>
      </c>
      <c r="CF15" s="419" t="n">
        <f aca="false">IF('APA Inputs'!$C$30="",0,(IF(AND(CF$4&gt;='APA Inputs'!$C$30,CF$4&lt;EDATE('APA Inputs'!$C$30,N('APA Inputs'!$D$30))),'APA Inputs'!$J$30,0)+IF(N('APA Inputs'!$H$30)&gt;0,IF(CF$4=EDATE('APA Inputs'!$C$30,'APA Inputs'!$H$30-1),N('APA Inputs'!$G$30),0),0))*IF('APA Inputs'!$I$30="",1,'APA Inputs'!$I$30))</f>
        <v>0</v>
      </c>
      <c r="CG15" s="419" t="n">
        <f aca="false">IF('APA Inputs'!$C$30="",0,(IF(AND(CG$4&gt;='APA Inputs'!$C$30,CG$4&lt;EDATE('APA Inputs'!$C$30,N('APA Inputs'!$D$30))),'APA Inputs'!$J$30,0)+IF(N('APA Inputs'!$H$30)&gt;0,IF(CG$4=EDATE('APA Inputs'!$C$30,'APA Inputs'!$H$30-1),N('APA Inputs'!$G$30),0),0))*IF('APA Inputs'!$I$30="",1,'APA Inputs'!$I$30))</f>
        <v>0</v>
      </c>
      <c r="CH15" s="419" t="n">
        <f aca="false">IF('APA Inputs'!$C$30="",0,(IF(AND(CH$4&gt;='APA Inputs'!$C$30,CH$4&lt;EDATE('APA Inputs'!$C$30,N('APA Inputs'!$D$30))),'APA Inputs'!$J$30,0)+IF(N('APA Inputs'!$H$30)&gt;0,IF(CH$4=EDATE('APA Inputs'!$C$30,'APA Inputs'!$H$30-1),N('APA Inputs'!$G$30),0),0))*IF('APA Inputs'!$I$30="",1,'APA Inputs'!$I$30))</f>
        <v>0</v>
      </c>
      <c r="CI15" s="419" t="n">
        <f aca="false">IF('APA Inputs'!$C$30="",0,(IF(AND(CI$4&gt;='APA Inputs'!$C$30,CI$4&lt;EDATE('APA Inputs'!$C$30,N('APA Inputs'!$D$30))),'APA Inputs'!$J$30,0)+IF(N('APA Inputs'!$H$30)&gt;0,IF(CI$4=EDATE('APA Inputs'!$C$30,'APA Inputs'!$H$30-1),N('APA Inputs'!$G$30),0),0))*IF('APA Inputs'!$I$30="",1,'APA Inputs'!$I$30))</f>
        <v>0</v>
      </c>
      <c r="CJ15" s="419" t="n">
        <f aca="false">IF('APA Inputs'!$C$30="",0,(IF(AND(CJ$4&gt;='APA Inputs'!$C$30,CJ$4&lt;EDATE('APA Inputs'!$C$30,N('APA Inputs'!$D$30))),'APA Inputs'!$J$30,0)+IF(N('APA Inputs'!$H$30)&gt;0,IF(CJ$4=EDATE('APA Inputs'!$C$30,'APA Inputs'!$H$30-1),N('APA Inputs'!$G$30),0),0))*IF('APA Inputs'!$I$30="",1,'APA Inputs'!$I$30))</f>
        <v>0</v>
      </c>
      <c r="CK15" s="419" t="n">
        <f aca="false">IF('APA Inputs'!$C$30="",0,(IF(AND(CK$4&gt;='APA Inputs'!$C$30,CK$4&lt;EDATE('APA Inputs'!$C$30,N('APA Inputs'!$D$30))),'APA Inputs'!$J$30,0)+IF(N('APA Inputs'!$H$30)&gt;0,IF(CK$4=EDATE('APA Inputs'!$C$30,'APA Inputs'!$H$30-1),N('APA Inputs'!$G$30),0),0))*IF('APA Inputs'!$I$30="",1,'APA Inputs'!$I$30))</f>
        <v>0</v>
      </c>
      <c r="CL15" s="419" t="n">
        <f aca="false">IF('APA Inputs'!$C$30="",0,(IF(AND(CL$4&gt;='APA Inputs'!$C$30,CL$4&lt;EDATE('APA Inputs'!$C$30,N('APA Inputs'!$D$30))),'APA Inputs'!$J$30,0)+IF(N('APA Inputs'!$H$30)&gt;0,IF(CL$4=EDATE('APA Inputs'!$C$30,'APA Inputs'!$H$30-1),N('APA Inputs'!$G$30),0),0))*IF('APA Inputs'!$I$30="",1,'APA Inputs'!$I$30))</f>
        <v>0</v>
      </c>
      <c r="CM15" s="419" t="n">
        <f aca="false">IF('APA Inputs'!$C$30="",0,(IF(AND(CM$4&gt;='APA Inputs'!$C$30,CM$4&lt;EDATE('APA Inputs'!$C$30,N('APA Inputs'!$D$30))),'APA Inputs'!$J$30,0)+IF(N('APA Inputs'!$H$30)&gt;0,IF(CM$4=EDATE('APA Inputs'!$C$30,'APA Inputs'!$H$30-1),N('APA Inputs'!$G$30),0),0))*IF('APA Inputs'!$I$30="",1,'APA Inputs'!$I$30))</f>
        <v>0</v>
      </c>
      <c r="CN15" s="419" t="n">
        <f aca="false">IF('APA Inputs'!$C$30="",0,(IF(AND(CN$4&gt;='APA Inputs'!$C$30,CN$4&lt;EDATE('APA Inputs'!$C$30,N('APA Inputs'!$D$30))),'APA Inputs'!$J$30,0)+IF(N('APA Inputs'!$H$30)&gt;0,IF(CN$4=EDATE('APA Inputs'!$C$30,'APA Inputs'!$H$30-1),N('APA Inputs'!$G$30),0),0))*IF('APA Inputs'!$I$30="",1,'APA Inputs'!$I$30))</f>
        <v>0</v>
      </c>
      <c r="CO15" s="419" t="n">
        <f aca="false">IF('APA Inputs'!$C$30="",0,(IF(AND(CO$4&gt;='APA Inputs'!$C$30,CO$4&lt;EDATE('APA Inputs'!$C$30,N('APA Inputs'!$D$30))),'APA Inputs'!$J$30,0)+IF(N('APA Inputs'!$H$30)&gt;0,IF(CO$4=EDATE('APA Inputs'!$C$30,'APA Inputs'!$H$30-1),N('APA Inputs'!$G$30),0),0))*IF('APA Inputs'!$I$30="",1,'APA Inputs'!$I$30))</f>
        <v>0</v>
      </c>
      <c r="CP15" s="419" t="n">
        <f aca="false">IF('APA Inputs'!$C$30="",0,(IF(AND(CP$4&gt;='APA Inputs'!$C$30,CP$4&lt;EDATE('APA Inputs'!$C$30,N('APA Inputs'!$D$30))),'APA Inputs'!$J$30,0)+IF(N('APA Inputs'!$H$30)&gt;0,IF(CP$4=EDATE('APA Inputs'!$C$30,'APA Inputs'!$H$30-1),N('APA Inputs'!$G$30),0),0))*IF('APA Inputs'!$I$30="",1,'APA Inputs'!$I$30))</f>
        <v>0</v>
      </c>
      <c r="CQ15" s="419" t="n">
        <f aca="false">IF('APA Inputs'!$C$30="",0,(IF(AND(CQ$4&gt;='APA Inputs'!$C$30,CQ$4&lt;EDATE('APA Inputs'!$C$30,N('APA Inputs'!$D$30))),'APA Inputs'!$J$30,0)+IF(N('APA Inputs'!$H$30)&gt;0,IF(CQ$4=EDATE('APA Inputs'!$C$30,'APA Inputs'!$H$30-1),N('APA Inputs'!$G$30),0),0))*IF('APA Inputs'!$I$30="",1,'APA Inputs'!$I$30))</f>
        <v>0</v>
      </c>
      <c r="CR15" s="419" t="n">
        <f aca="false">IF('APA Inputs'!$C$30="",0,(IF(AND(CR$4&gt;='APA Inputs'!$C$30,CR$4&lt;EDATE('APA Inputs'!$C$30,N('APA Inputs'!$D$30))),'APA Inputs'!$J$30,0)+IF(N('APA Inputs'!$H$30)&gt;0,IF(CR$4=EDATE('APA Inputs'!$C$30,'APA Inputs'!$H$30-1),N('APA Inputs'!$G$30),0),0))*IF('APA Inputs'!$I$30="",1,'APA Inputs'!$I$30))</f>
        <v>0</v>
      </c>
      <c r="CS15" s="419" t="n">
        <f aca="false">IF('APA Inputs'!$C$30="",0,(IF(AND(CS$4&gt;='APA Inputs'!$C$30,CS$4&lt;EDATE('APA Inputs'!$C$30,N('APA Inputs'!$D$30))),'APA Inputs'!$J$30,0)+IF(N('APA Inputs'!$H$30)&gt;0,IF(CS$4=EDATE('APA Inputs'!$C$30,'APA Inputs'!$H$30-1),N('APA Inputs'!$G$30),0),0))*IF('APA Inputs'!$I$30="",1,'APA Inputs'!$I$30))</f>
        <v>0</v>
      </c>
      <c r="CT15" s="419" t="n">
        <f aca="false">IF('APA Inputs'!$C$30="",0,(IF(AND(CT$4&gt;='APA Inputs'!$C$30,CT$4&lt;EDATE('APA Inputs'!$C$30,N('APA Inputs'!$D$30))),'APA Inputs'!$J$30,0)+IF(N('APA Inputs'!$H$30)&gt;0,IF(CT$4=EDATE('APA Inputs'!$C$30,'APA Inputs'!$H$30-1),N('APA Inputs'!$G$30),0),0))*IF('APA Inputs'!$I$30="",1,'APA Inputs'!$I$30))</f>
        <v>0</v>
      </c>
      <c r="CU15" s="419" t="n">
        <f aca="false">IF('APA Inputs'!$C$30="",0,(IF(AND(CU$4&gt;='APA Inputs'!$C$30,CU$4&lt;EDATE('APA Inputs'!$C$30,N('APA Inputs'!$D$30))),'APA Inputs'!$J$30,0)+IF(N('APA Inputs'!$H$30)&gt;0,IF(CU$4=EDATE('APA Inputs'!$C$30,'APA Inputs'!$H$30-1),N('APA Inputs'!$G$30),0),0))*IF('APA Inputs'!$I$30="",1,'APA Inputs'!$I$30))</f>
        <v>0</v>
      </c>
      <c r="CV15" s="419" t="n">
        <f aca="false">IF('APA Inputs'!$C$30="",0,(IF(AND(CV$4&gt;='APA Inputs'!$C$30,CV$4&lt;EDATE('APA Inputs'!$C$30,N('APA Inputs'!$D$30))),'APA Inputs'!$J$30,0)+IF(N('APA Inputs'!$H$30)&gt;0,IF(CV$4=EDATE('APA Inputs'!$C$30,'APA Inputs'!$H$30-1),N('APA Inputs'!$G$30),0),0))*IF('APA Inputs'!$I$30="",1,'APA Inputs'!$I$30))</f>
        <v>0</v>
      </c>
      <c r="CW15" s="419" t="n">
        <f aca="false">IF('APA Inputs'!$C$30="",0,(IF(AND(CW$4&gt;='APA Inputs'!$C$30,CW$4&lt;EDATE('APA Inputs'!$C$30,N('APA Inputs'!$D$30))),'APA Inputs'!$J$30,0)+IF(N('APA Inputs'!$H$30)&gt;0,IF(CW$4=EDATE('APA Inputs'!$C$30,'APA Inputs'!$H$30-1),N('APA Inputs'!$G$30),0),0))*IF('APA Inputs'!$I$30="",1,'APA Inputs'!$I$30))</f>
        <v>0</v>
      </c>
      <c r="CX15" s="419" t="n">
        <f aca="false">IF('APA Inputs'!$C$30="",0,(IF(AND(CX$4&gt;='APA Inputs'!$C$30,CX$4&lt;EDATE('APA Inputs'!$C$30,N('APA Inputs'!$D$30))),'APA Inputs'!$J$30,0)+IF(N('APA Inputs'!$H$30)&gt;0,IF(CX$4=EDATE('APA Inputs'!$C$30,'APA Inputs'!$H$30-1),N('APA Inputs'!$G$30),0),0))*IF('APA Inputs'!$I$30="",1,'APA Inputs'!$I$30))</f>
        <v>0</v>
      </c>
      <c r="CY15" s="419" t="n">
        <f aca="false">IF('APA Inputs'!$C$30="",0,(IF(AND(CY$4&gt;='APA Inputs'!$C$30,CY$4&lt;EDATE('APA Inputs'!$C$30,N('APA Inputs'!$D$30))),'APA Inputs'!$J$30,0)+IF(N('APA Inputs'!$H$30)&gt;0,IF(CY$4=EDATE('APA Inputs'!$C$30,'APA Inputs'!$H$30-1),N('APA Inputs'!$G$30),0),0))*IF('APA Inputs'!$I$30="",1,'APA Inputs'!$I$30))</f>
        <v>0</v>
      </c>
      <c r="CZ15" s="419" t="n">
        <f aca="false">IF('APA Inputs'!$C$30="",0,(IF(AND(CZ$4&gt;='APA Inputs'!$C$30,CZ$4&lt;EDATE('APA Inputs'!$C$30,N('APA Inputs'!$D$30))),'APA Inputs'!$J$30,0)+IF(N('APA Inputs'!$H$30)&gt;0,IF(CZ$4=EDATE('APA Inputs'!$C$30,'APA Inputs'!$H$30-1),N('APA Inputs'!$G$30),0),0))*IF('APA Inputs'!$I$30="",1,'APA Inputs'!$I$30))</f>
        <v>0</v>
      </c>
      <c r="DA15" s="419" t="n">
        <f aca="false">IF('APA Inputs'!$C$30="",0,(IF(AND(DA$4&gt;='APA Inputs'!$C$30,DA$4&lt;EDATE('APA Inputs'!$C$30,N('APA Inputs'!$D$30))),'APA Inputs'!$J$30,0)+IF(N('APA Inputs'!$H$30)&gt;0,IF(DA$4=EDATE('APA Inputs'!$C$30,'APA Inputs'!$H$30-1),N('APA Inputs'!$G$30),0),0))*IF('APA Inputs'!$I$30="",1,'APA Inputs'!$I$30))</f>
        <v>0</v>
      </c>
      <c r="DB15" s="419" t="n">
        <f aca="false">IF('APA Inputs'!$C$30="",0,(IF(AND(DB$4&gt;='APA Inputs'!$C$30,DB$4&lt;EDATE('APA Inputs'!$C$30,N('APA Inputs'!$D$30))),'APA Inputs'!$J$30,0)+IF(N('APA Inputs'!$H$30)&gt;0,IF(DB$4=EDATE('APA Inputs'!$C$30,'APA Inputs'!$H$30-1),N('APA Inputs'!$G$30),0),0))*IF('APA Inputs'!$I$30="",1,'APA Inputs'!$I$30))</f>
        <v>0</v>
      </c>
      <c r="DC15" s="419" t="n">
        <f aca="false">IF('APA Inputs'!$C$30="",0,(IF(AND(DC$4&gt;='APA Inputs'!$C$30,DC$4&lt;EDATE('APA Inputs'!$C$30,N('APA Inputs'!$D$30))),'APA Inputs'!$J$30,0)+IF(N('APA Inputs'!$H$30)&gt;0,IF(DC$4=EDATE('APA Inputs'!$C$30,'APA Inputs'!$H$30-1),N('APA Inputs'!$G$30),0),0))*IF('APA Inputs'!$I$30="",1,'APA Inputs'!$I$30))</f>
        <v>0</v>
      </c>
      <c r="DD15" s="419" t="n">
        <f aca="false">IF('APA Inputs'!$C$30="",0,(IF(AND(DD$4&gt;='APA Inputs'!$C$30,DD$4&lt;EDATE('APA Inputs'!$C$30,N('APA Inputs'!$D$30))),'APA Inputs'!$J$30,0)+IF(N('APA Inputs'!$H$30)&gt;0,IF(DD$4=EDATE('APA Inputs'!$C$30,'APA Inputs'!$H$30-1),N('APA Inputs'!$G$30),0),0))*IF('APA Inputs'!$I$30="",1,'APA Inputs'!$I$30))</f>
        <v>0</v>
      </c>
      <c r="DE15" s="419"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19" t="n">
        <f aca="false">IF('APA Inputs'!$C$31="",0,(IF(AND(B$4&gt;='APA Inputs'!$C$31,B$4&lt;EDATE('APA Inputs'!$C$31,N('APA Inputs'!$D$31))),'APA Inputs'!$J$31,0)+IF(N('APA Inputs'!$H$31)&gt;0,IF(B$4=EDATE('APA Inputs'!$C$31,'APA Inputs'!$H$31-1),N('APA Inputs'!$G$31),0),0))*IF('APA Inputs'!$I$31="",1,'APA Inputs'!$I$31))</f>
        <v>0</v>
      </c>
      <c r="C16" s="419" t="n">
        <f aca="false">IF('APA Inputs'!$C$31="",0,(IF(AND(C$4&gt;='APA Inputs'!$C$31,C$4&lt;EDATE('APA Inputs'!$C$31,N('APA Inputs'!$D$31))),'APA Inputs'!$J$31,0)+IF(N('APA Inputs'!$H$31)&gt;0,IF(C$4=EDATE('APA Inputs'!$C$31,'APA Inputs'!$H$31-1),N('APA Inputs'!$G$31),0),0))*IF('APA Inputs'!$I$31="",1,'APA Inputs'!$I$31))</f>
        <v>0</v>
      </c>
      <c r="D16" s="419" t="n">
        <f aca="false">IF('APA Inputs'!$C$31="",0,(IF(AND(D$4&gt;='APA Inputs'!$C$31,D$4&lt;EDATE('APA Inputs'!$C$31,N('APA Inputs'!$D$31))),'APA Inputs'!$J$31,0)+IF(N('APA Inputs'!$H$31)&gt;0,IF(D$4=EDATE('APA Inputs'!$C$31,'APA Inputs'!$H$31-1),N('APA Inputs'!$G$31),0),0))*IF('APA Inputs'!$I$31="",1,'APA Inputs'!$I$31))</f>
        <v>0</v>
      </c>
      <c r="E16" s="419" t="n">
        <f aca="false">IF('APA Inputs'!$C$31="",0,(IF(AND(E$4&gt;='APA Inputs'!$C$31,E$4&lt;EDATE('APA Inputs'!$C$31,N('APA Inputs'!$D$31))),'APA Inputs'!$J$31,0)+IF(N('APA Inputs'!$H$31)&gt;0,IF(E$4=EDATE('APA Inputs'!$C$31,'APA Inputs'!$H$31-1),N('APA Inputs'!$G$31),0),0))*IF('APA Inputs'!$I$31="",1,'APA Inputs'!$I$31))</f>
        <v>0</v>
      </c>
      <c r="F16" s="419" t="n">
        <f aca="false">IF('APA Inputs'!$C$31="",0,(IF(AND(F$4&gt;='APA Inputs'!$C$31,F$4&lt;EDATE('APA Inputs'!$C$31,N('APA Inputs'!$D$31))),'APA Inputs'!$J$31,0)+IF(N('APA Inputs'!$H$31)&gt;0,IF(F$4=EDATE('APA Inputs'!$C$31,'APA Inputs'!$H$31-1),N('APA Inputs'!$G$31),0),0))*IF('APA Inputs'!$I$31="",1,'APA Inputs'!$I$31))</f>
        <v>0</v>
      </c>
      <c r="G16" s="419" t="n">
        <f aca="false">IF('APA Inputs'!$C$31="",0,(IF(AND(G$4&gt;='APA Inputs'!$C$31,G$4&lt;EDATE('APA Inputs'!$C$31,N('APA Inputs'!$D$31))),'APA Inputs'!$J$31,0)+IF(N('APA Inputs'!$H$31)&gt;0,IF(G$4=EDATE('APA Inputs'!$C$31,'APA Inputs'!$H$31-1),N('APA Inputs'!$G$31),0),0))*IF('APA Inputs'!$I$31="",1,'APA Inputs'!$I$31))</f>
        <v>0</v>
      </c>
      <c r="H16" s="419" t="n">
        <f aca="false">IF('APA Inputs'!$C$31="",0,(IF(AND(H$4&gt;='APA Inputs'!$C$31,H$4&lt;EDATE('APA Inputs'!$C$31,N('APA Inputs'!$D$31))),'APA Inputs'!$J$31,0)+IF(N('APA Inputs'!$H$31)&gt;0,IF(H$4=EDATE('APA Inputs'!$C$31,'APA Inputs'!$H$31-1),N('APA Inputs'!$G$31),0),0))*IF('APA Inputs'!$I$31="",1,'APA Inputs'!$I$31))</f>
        <v>0</v>
      </c>
      <c r="I16" s="419" t="n">
        <f aca="false">IF('APA Inputs'!$C$31="",0,(IF(AND(I$4&gt;='APA Inputs'!$C$31,I$4&lt;EDATE('APA Inputs'!$C$31,N('APA Inputs'!$D$31))),'APA Inputs'!$J$31,0)+IF(N('APA Inputs'!$H$31)&gt;0,IF(I$4=EDATE('APA Inputs'!$C$31,'APA Inputs'!$H$31-1),N('APA Inputs'!$G$31),0),0))*IF('APA Inputs'!$I$31="",1,'APA Inputs'!$I$31))</f>
        <v>0</v>
      </c>
      <c r="J16" s="419" t="n">
        <f aca="false">IF('APA Inputs'!$C$31="",0,(IF(AND(J$4&gt;='APA Inputs'!$C$31,J$4&lt;EDATE('APA Inputs'!$C$31,N('APA Inputs'!$D$31))),'APA Inputs'!$J$31,0)+IF(N('APA Inputs'!$H$31)&gt;0,IF(J$4=EDATE('APA Inputs'!$C$31,'APA Inputs'!$H$31-1),N('APA Inputs'!$G$31),0),0))*IF('APA Inputs'!$I$31="",1,'APA Inputs'!$I$31))</f>
        <v>0</v>
      </c>
      <c r="K16" s="419" t="n">
        <f aca="false">IF('APA Inputs'!$C$31="",0,(IF(AND(K$4&gt;='APA Inputs'!$C$31,K$4&lt;EDATE('APA Inputs'!$C$31,N('APA Inputs'!$D$31))),'APA Inputs'!$J$31,0)+IF(N('APA Inputs'!$H$31)&gt;0,IF(K$4=EDATE('APA Inputs'!$C$31,'APA Inputs'!$H$31-1),N('APA Inputs'!$G$31),0),0))*IF('APA Inputs'!$I$31="",1,'APA Inputs'!$I$31))</f>
        <v>0</v>
      </c>
      <c r="L16" s="419" t="n">
        <f aca="false">IF('APA Inputs'!$C$31="",0,(IF(AND(L$4&gt;='APA Inputs'!$C$31,L$4&lt;EDATE('APA Inputs'!$C$31,N('APA Inputs'!$D$31))),'APA Inputs'!$J$31,0)+IF(N('APA Inputs'!$H$31)&gt;0,IF(L$4=EDATE('APA Inputs'!$C$31,'APA Inputs'!$H$31-1),N('APA Inputs'!$G$31),0),0))*IF('APA Inputs'!$I$31="",1,'APA Inputs'!$I$31))</f>
        <v>0</v>
      </c>
      <c r="M16" s="419" t="n">
        <f aca="false">IF('APA Inputs'!$C$31="",0,(IF(AND(M$4&gt;='APA Inputs'!$C$31,M$4&lt;EDATE('APA Inputs'!$C$31,N('APA Inputs'!$D$31))),'APA Inputs'!$J$31,0)+IF(N('APA Inputs'!$H$31)&gt;0,IF(M$4=EDATE('APA Inputs'!$C$31,'APA Inputs'!$H$31-1),N('APA Inputs'!$G$31),0),0))*IF('APA Inputs'!$I$31="",1,'APA Inputs'!$I$31))</f>
        <v>0</v>
      </c>
      <c r="N16" s="419" t="n">
        <f aca="false">IF('APA Inputs'!$C$31="",0,(IF(AND(N$4&gt;='APA Inputs'!$C$31,N$4&lt;EDATE('APA Inputs'!$C$31,N('APA Inputs'!$D$31))),'APA Inputs'!$J$31,0)+IF(N('APA Inputs'!$H$31)&gt;0,IF(N$4=EDATE('APA Inputs'!$C$31,'APA Inputs'!$H$31-1),N('APA Inputs'!$G$31),0),0))*IF('APA Inputs'!$I$31="",1,'APA Inputs'!$I$31))</f>
        <v>0</v>
      </c>
      <c r="O16" s="419" t="n">
        <f aca="false">IF('APA Inputs'!$C$31="",0,(IF(AND(O$4&gt;='APA Inputs'!$C$31,O$4&lt;EDATE('APA Inputs'!$C$31,N('APA Inputs'!$D$31))),'APA Inputs'!$J$31,0)+IF(N('APA Inputs'!$H$31)&gt;0,IF(O$4=EDATE('APA Inputs'!$C$31,'APA Inputs'!$H$31-1),N('APA Inputs'!$G$31),0),0))*IF('APA Inputs'!$I$31="",1,'APA Inputs'!$I$31))</f>
        <v>0</v>
      </c>
      <c r="P16" s="419" t="n">
        <f aca="false">IF('APA Inputs'!$C$31="",0,(IF(AND(P$4&gt;='APA Inputs'!$C$31,P$4&lt;EDATE('APA Inputs'!$C$31,N('APA Inputs'!$D$31))),'APA Inputs'!$J$31,0)+IF(N('APA Inputs'!$H$31)&gt;0,IF(P$4=EDATE('APA Inputs'!$C$31,'APA Inputs'!$H$31-1),N('APA Inputs'!$G$31),0),0))*IF('APA Inputs'!$I$31="",1,'APA Inputs'!$I$31))</f>
        <v>0</v>
      </c>
      <c r="Q16" s="419" t="n">
        <f aca="false">IF('APA Inputs'!$C$31="",0,(IF(AND(Q$4&gt;='APA Inputs'!$C$31,Q$4&lt;EDATE('APA Inputs'!$C$31,N('APA Inputs'!$D$31))),'APA Inputs'!$J$31,0)+IF(N('APA Inputs'!$H$31)&gt;0,IF(Q$4=EDATE('APA Inputs'!$C$31,'APA Inputs'!$H$31-1),N('APA Inputs'!$G$31),0),0))*IF('APA Inputs'!$I$31="",1,'APA Inputs'!$I$31))</f>
        <v>0</v>
      </c>
      <c r="R16" s="419" t="n">
        <f aca="false">IF('APA Inputs'!$C$31="",0,(IF(AND(R$4&gt;='APA Inputs'!$C$31,R$4&lt;EDATE('APA Inputs'!$C$31,N('APA Inputs'!$D$31))),'APA Inputs'!$J$31,0)+IF(N('APA Inputs'!$H$31)&gt;0,IF(R$4=EDATE('APA Inputs'!$C$31,'APA Inputs'!$H$31-1),N('APA Inputs'!$G$31),0),0))*IF('APA Inputs'!$I$31="",1,'APA Inputs'!$I$31))</f>
        <v>0</v>
      </c>
      <c r="S16" s="419" t="n">
        <f aca="false">IF('APA Inputs'!$C$31="",0,(IF(AND(S$4&gt;='APA Inputs'!$C$31,S$4&lt;EDATE('APA Inputs'!$C$31,N('APA Inputs'!$D$31))),'APA Inputs'!$J$31,0)+IF(N('APA Inputs'!$H$31)&gt;0,IF(S$4=EDATE('APA Inputs'!$C$31,'APA Inputs'!$H$31-1),N('APA Inputs'!$G$31),0),0))*IF('APA Inputs'!$I$31="",1,'APA Inputs'!$I$31))</f>
        <v>0</v>
      </c>
      <c r="T16" s="419" t="n">
        <f aca="false">IF('APA Inputs'!$C$31="",0,(IF(AND(T$4&gt;='APA Inputs'!$C$31,T$4&lt;EDATE('APA Inputs'!$C$31,N('APA Inputs'!$D$31))),'APA Inputs'!$J$31,0)+IF(N('APA Inputs'!$H$31)&gt;0,IF(T$4=EDATE('APA Inputs'!$C$31,'APA Inputs'!$H$31-1),N('APA Inputs'!$G$31),0),0))*IF('APA Inputs'!$I$31="",1,'APA Inputs'!$I$31))</f>
        <v>0</v>
      </c>
      <c r="U16" s="419" t="n">
        <f aca="false">IF('APA Inputs'!$C$31="",0,(IF(AND(U$4&gt;='APA Inputs'!$C$31,U$4&lt;EDATE('APA Inputs'!$C$31,N('APA Inputs'!$D$31))),'APA Inputs'!$J$31,0)+IF(N('APA Inputs'!$H$31)&gt;0,IF(U$4=EDATE('APA Inputs'!$C$31,'APA Inputs'!$H$31-1),N('APA Inputs'!$G$31),0),0))*IF('APA Inputs'!$I$31="",1,'APA Inputs'!$I$31))</f>
        <v>0</v>
      </c>
      <c r="V16" s="419" t="n">
        <f aca="false">IF('APA Inputs'!$C$31="",0,(IF(AND(V$4&gt;='APA Inputs'!$C$31,V$4&lt;EDATE('APA Inputs'!$C$31,N('APA Inputs'!$D$31))),'APA Inputs'!$J$31,0)+IF(N('APA Inputs'!$H$31)&gt;0,IF(V$4=EDATE('APA Inputs'!$C$31,'APA Inputs'!$H$31-1),N('APA Inputs'!$G$31),0),0))*IF('APA Inputs'!$I$31="",1,'APA Inputs'!$I$31))</f>
        <v>0</v>
      </c>
      <c r="W16" s="419" t="n">
        <f aca="false">IF('APA Inputs'!$C$31="",0,(IF(AND(W$4&gt;='APA Inputs'!$C$31,W$4&lt;EDATE('APA Inputs'!$C$31,N('APA Inputs'!$D$31))),'APA Inputs'!$J$31,0)+IF(N('APA Inputs'!$H$31)&gt;0,IF(W$4=EDATE('APA Inputs'!$C$31,'APA Inputs'!$H$31-1),N('APA Inputs'!$G$31),0),0))*IF('APA Inputs'!$I$31="",1,'APA Inputs'!$I$31))</f>
        <v>0</v>
      </c>
      <c r="X16" s="419" t="n">
        <f aca="false">IF('APA Inputs'!$C$31="",0,(IF(AND(X$4&gt;='APA Inputs'!$C$31,X$4&lt;EDATE('APA Inputs'!$C$31,N('APA Inputs'!$D$31))),'APA Inputs'!$J$31,0)+IF(N('APA Inputs'!$H$31)&gt;0,IF(X$4=EDATE('APA Inputs'!$C$31,'APA Inputs'!$H$31-1),N('APA Inputs'!$G$31),0),0))*IF('APA Inputs'!$I$31="",1,'APA Inputs'!$I$31))</f>
        <v>0</v>
      </c>
      <c r="Y16" s="419" t="n">
        <f aca="false">IF('APA Inputs'!$C$31="",0,(IF(AND(Y$4&gt;='APA Inputs'!$C$31,Y$4&lt;EDATE('APA Inputs'!$C$31,N('APA Inputs'!$D$31))),'APA Inputs'!$J$31,0)+IF(N('APA Inputs'!$H$31)&gt;0,IF(Y$4=EDATE('APA Inputs'!$C$31,'APA Inputs'!$H$31-1),N('APA Inputs'!$G$31),0),0))*IF('APA Inputs'!$I$31="",1,'APA Inputs'!$I$31))</f>
        <v>0</v>
      </c>
      <c r="Z16" s="419" t="n">
        <f aca="false">IF('APA Inputs'!$C$31="",0,(IF(AND(Z$4&gt;='APA Inputs'!$C$31,Z$4&lt;EDATE('APA Inputs'!$C$31,N('APA Inputs'!$D$31))),'APA Inputs'!$J$31,0)+IF(N('APA Inputs'!$H$31)&gt;0,IF(Z$4=EDATE('APA Inputs'!$C$31,'APA Inputs'!$H$31-1),N('APA Inputs'!$G$31),0),0))*IF('APA Inputs'!$I$31="",1,'APA Inputs'!$I$31))</f>
        <v>0</v>
      </c>
      <c r="AA16" s="419" t="n">
        <f aca="false">IF('APA Inputs'!$C$31="",0,(IF(AND(AA$4&gt;='APA Inputs'!$C$31,AA$4&lt;EDATE('APA Inputs'!$C$31,N('APA Inputs'!$D$31))),'APA Inputs'!$J$31,0)+IF(N('APA Inputs'!$H$31)&gt;0,IF(AA$4=EDATE('APA Inputs'!$C$31,'APA Inputs'!$H$31-1),N('APA Inputs'!$G$31),0),0))*IF('APA Inputs'!$I$31="",1,'APA Inputs'!$I$31))</f>
        <v>0</v>
      </c>
      <c r="AB16" s="419" t="n">
        <f aca="false">IF('APA Inputs'!$C$31="",0,(IF(AND(AB$4&gt;='APA Inputs'!$C$31,AB$4&lt;EDATE('APA Inputs'!$C$31,N('APA Inputs'!$D$31))),'APA Inputs'!$J$31,0)+IF(N('APA Inputs'!$H$31)&gt;0,IF(AB$4=EDATE('APA Inputs'!$C$31,'APA Inputs'!$H$31-1),N('APA Inputs'!$G$31),0),0))*IF('APA Inputs'!$I$31="",1,'APA Inputs'!$I$31))</f>
        <v>0</v>
      </c>
      <c r="AC16" s="419" t="n">
        <f aca="false">IF('APA Inputs'!$C$31="",0,(IF(AND(AC$4&gt;='APA Inputs'!$C$31,AC$4&lt;EDATE('APA Inputs'!$C$31,N('APA Inputs'!$D$31))),'APA Inputs'!$J$31,0)+IF(N('APA Inputs'!$H$31)&gt;0,IF(AC$4=EDATE('APA Inputs'!$C$31,'APA Inputs'!$H$31-1),N('APA Inputs'!$G$31),0),0))*IF('APA Inputs'!$I$31="",1,'APA Inputs'!$I$31))</f>
        <v>0</v>
      </c>
      <c r="AD16" s="419" t="n">
        <f aca="false">IF('APA Inputs'!$C$31="",0,(IF(AND(AD$4&gt;='APA Inputs'!$C$31,AD$4&lt;EDATE('APA Inputs'!$C$31,N('APA Inputs'!$D$31))),'APA Inputs'!$J$31,0)+IF(N('APA Inputs'!$H$31)&gt;0,IF(AD$4=EDATE('APA Inputs'!$C$31,'APA Inputs'!$H$31-1),N('APA Inputs'!$G$31),0),0))*IF('APA Inputs'!$I$31="",1,'APA Inputs'!$I$31))</f>
        <v>0</v>
      </c>
      <c r="AE16" s="419" t="n">
        <f aca="false">IF('APA Inputs'!$C$31="",0,(IF(AND(AE$4&gt;='APA Inputs'!$C$31,AE$4&lt;EDATE('APA Inputs'!$C$31,N('APA Inputs'!$D$31))),'APA Inputs'!$J$31,0)+IF(N('APA Inputs'!$H$31)&gt;0,IF(AE$4=EDATE('APA Inputs'!$C$31,'APA Inputs'!$H$31-1),N('APA Inputs'!$G$31),0),0))*IF('APA Inputs'!$I$31="",1,'APA Inputs'!$I$31))</f>
        <v>0</v>
      </c>
      <c r="AF16" s="419" t="n">
        <f aca="false">IF('APA Inputs'!$C$31="",0,(IF(AND(AF$4&gt;='APA Inputs'!$C$31,AF$4&lt;EDATE('APA Inputs'!$C$31,N('APA Inputs'!$D$31))),'APA Inputs'!$J$31,0)+IF(N('APA Inputs'!$H$31)&gt;0,IF(AF$4=EDATE('APA Inputs'!$C$31,'APA Inputs'!$H$31-1),N('APA Inputs'!$G$31),0),0))*IF('APA Inputs'!$I$31="",1,'APA Inputs'!$I$31))</f>
        <v>0</v>
      </c>
      <c r="AG16" s="419" t="n">
        <f aca="false">IF('APA Inputs'!$C$31="",0,(IF(AND(AG$4&gt;='APA Inputs'!$C$31,AG$4&lt;EDATE('APA Inputs'!$C$31,N('APA Inputs'!$D$31))),'APA Inputs'!$J$31,0)+IF(N('APA Inputs'!$H$31)&gt;0,IF(AG$4=EDATE('APA Inputs'!$C$31,'APA Inputs'!$H$31-1),N('APA Inputs'!$G$31),0),0))*IF('APA Inputs'!$I$31="",1,'APA Inputs'!$I$31))</f>
        <v>0</v>
      </c>
      <c r="AH16" s="419" t="n">
        <f aca="false">IF('APA Inputs'!$C$31="",0,(IF(AND(AH$4&gt;='APA Inputs'!$C$31,AH$4&lt;EDATE('APA Inputs'!$C$31,N('APA Inputs'!$D$31))),'APA Inputs'!$J$31,0)+IF(N('APA Inputs'!$H$31)&gt;0,IF(AH$4=EDATE('APA Inputs'!$C$31,'APA Inputs'!$H$31-1),N('APA Inputs'!$G$31),0),0))*IF('APA Inputs'!$I$31="",1,'APA Inputs'!$I$31))</f>
        <v>0</v>
      </c>
      <c r="AI16" s="419" t="n">
        <f aca="false">IF('APA Inputs'!$C$31="",0,(IF(AND(AI$4&gt;='APA Inputs'!$C$31,AI$4&lt;EDATE('APA Inputs'!$C$31,N('APA Inputs'!$D$31))),'APA Inputs'!$J$31,0)+IF(N('APA Inputs'!$H$31)&gt;0,IF(AI$4=EDATE('APA Inputs'!$C$31,'APA Inputs'!$H$31-1),N('APA Inputs'!$G$31),0),0))*IF('APA Inputs'!$I$31="",1,'APA Inputs'!$I$31))</f>
        <v>0</v>
      </c>
      <c r="AJ16" s="419" t="n">
        <f aca="false">IF('APA Inputs'!$C$31="",0,(IF(AND(AJ$4&gt;='APA Inputs'!$C$31,AJ$4&lt;EDATE('APA Inputs'!$C$31,N('APA Inputs'!$D$31))),'APA Inputs'!$J$31,0)+IF(N('APA Inputs'!$H$31)&gt;0,IF(AJ$4=EDATE('APA Inputs'!$C$31,'APA Inputs'!$H$31-1),N('APA Inputs'!$G$31),0),0))*IF('APA Inputs'!$I$31="",1,'APA Inputs'!$I$31))</f>
        <v>0</v>
      </c>
      <c r="AK16" s="419" t="n">
        <f aca="false">IF('APA Inputs'!$C$31="",0,(IF(AND(AK$4&gt;='APA Inputs'!$C$31,AK$4&lt;EDATE('APA Inputs'!$C$31,N('APA Inputs'!$D$31))),'APA Inputs'!$J$31,0)+IF(N('APA Inputs'!$H$31)&gt;0,IF(AK$4=EDATE('APA Inputs'!$C$31,'APA Inputs'!$H$31-1),N('APA Inputs'!$G$31),0),0))*IF('APA Inputs'!$I$31="",1,'APA Inputs'!$I$31))</f>
        <v>0</v>
      </c>
      <c r="AL16" s="419" t="n">
        <f aca="false">IF('APA Inputs'!$C$31="",0,(IF(AND(AL$4&gt;='APA Inputs'!$C$31,AL$4&lt;EDATE('APA Inputs'!$C$31,N('APA Inputs'!$D$31))),'APA Inputs'!$J$31,0)+IF(N('APA Inputs'!$H$31)&gt;0,IF(AL$4=EDATE('APA Inputs'!$C$31,'APA Inputs'!$H$31-1),N('APA Inputs'!$G$31),0),0))*IF('APA Inputs'!$I$31="",1,'APA Inputs'!$I$31))</f>
        <v>0</v>
      </c>
      <c r="AM16" s="419" t="n">
        <f aca="false">IF('APA Inputs'!$C$31="",0,(IF(AND(AM$4&gt;='APA Inputs'!$C$31,AM$4&lt;EDATE('APA Inputs'!$C$31,N('APA Inputs'!$D$31))),'APA Inputs'!$J$31,0)+IF(N('APA Inputs'!$H$31)&gt;0,IF(AM$4=EDATE('APA Inputs'!$C$31,'APA Inputs'!$H$31-1),N('APA Inputs'!$G$31),0),0))*IF('APA Inputs'!$I$31="",1,'APA Inputs'!$I$31))</f>
        <v>0</v>
      </c>
      <c r="AN16" s="419" t="n">
        <f aca="false">IF('APA Inputs'!$C$31="",0,(IF(AND(AN$4&gt;='APA Inputs'!$C$31,AN$4&lt;EDATE('APA Inputs'!$C$31,N('APA Inputs'!$D$31))),'APA Inputs'!$J$31,0)+IF(N('APA Inputs'!$H$31)&gt;0,IF(AN$4=EDATE('APA Inputs'!$C$31,'APA Inputs'!$H$31-1),N('APA Inputs'!$G$31),0),0))*IF('APA Inputs'!$I$31="",1,'APA Inputs'!$I$31))</f>
        <v>0</v>
      </c>
      <c r="AO16" s="419" t="n">
        <f aca="false">IF('APA Inputs'!$C$31="",0,(IF(AND(AO$4&gt;='APA Inputs'!$C$31,AO$4&lt;EDATE('APA Inputs'!$C$31,N('APA Inputs'!$D$31))),'APA Inputs'!$J$31,0)+IF(N('APA Inputs'!$H$31)&gt;0,IF(AO$4=EDATE('APA Inputs'!$C$31,'APA Inputs'!$H$31-1),N('APA Inputs'!$G$31),0),0))*IF('APA Inputs'!$I$31="",1,'APA Inputs'!$I$31))</f>
        <v>0</v>
      </c>
      <c r="AP16" s="419" t="n">
        <f aca="false">IF('APA Inputs'!$C$31="",0,(IF(AND(AP$4&gt;='APA Inputs'!$C$31,AP$4&lt;EDATE('APA Inputs'!$C$31,N('APA Inputs'!$D$31))),'APA Inputs'!$J$31,0)+IF(N('APA Inputs'!$H$31)&gt;0,IF(AP$4=EDATE('APA Inputs'!$C$31,'APA Inputs'!$H$31-1),N('APA Inputs'!$G$31),0),0))*IF('APA Inputs'!$I$31="",1,'APA Inputs'!$I$31))</f>
        <v>0</v>
      </c>
      <c r="AQ16" s="419" t="n">
        <f aca="false">IF('APA Inputs'!$C$31="",0,(IF(AND(AQ$4&gt;='APA Inputs'!$C$31,AQ$4&lt;EDATE('APA Inputs'!$C$31,N('APA Inputs'!$D$31))),'APA Inputs'!$J$31,0)+IF(N('APA Inputs'!$H$31)&gt;0,IF(AQ$4=EDATE('APA Inputs'!$C$31,'APA Inputs'!$H$31-1),N('APA Inputs'!$G$31),0),0))*IF('APA Inputs'!$I$31="",1,'APA Inputs'!$I$31))</f>
        <v>0</v>
      </c>
      <c r="AR16" s="419" t="n">
        <f aca="false">IF('APA Inputs'!$C$31="",0,(IF(AND(AR$4&gt;='APA Inputs'!$C$31,AR$4&lt;EDATE('APA Inputs'!$C$31,N('APA Inputs'!$D$31))),'APA Inputs'!$J$31,0)+IF(N('APA Inputs'!$H$31)&gt;0,IF(AR$4=EDATE('APA Inputs'!$C$31,'APA Inputs'!$H$31-1),N('APA Inputs'!$G$31),0),0))*IF('APA Inputs'!$I$31="",1,'APA Inputs'!$I$31))</f>
        <v>0</v>
      </c>
      <c r="AS16" s="419" t="n">
        <f aca="false">IF('APA Inputs'!$C$31="",0,(IF(AND(AS$4&gt;='APA Inputs'!$C$31,AS$4&lt;EDATE('APA Inputs'!$C$31,N('APA Inputs'!$D$31))),'APA Inputs'!$J$31,0)+IF(N('APA Inputs'!$H$31)&gt;0,IF(AS$4=EDATE('APA Inputs'!$C$31,'APA Inputs'!$H$31-1),N('APA Inputs'!$G$31),0),0))*IF('APA Inputs'!$I$31="",1,'APA Inputs'!$I$31))</f>
        <v>0</v>
      </c>
      <c r="AT16" s="419" t="n">
        <f aca="false">IF('APA Inputs'!$C$31="",0,(IF(AND(AT$4&gt;='APA Inputs'!$C$31,AT$4&lt;EDATE('APA Inputs'!$C$31,N('APA Inputs'!$D$31))),'APA Inputs'!$J$31,0)+IF(N('APA Inputs'!$H$31)&gt;0,IF(AT$4=EDATE('APA Inputs'!$C$31,'APA Inputs'!$H$31-1),N('APA Inputs'!$G$31),0),0))*IF('APA Inputs'!$I$31="",1,'APA Inputs'!$I$31))</f>
        <v>0</v>
      </c>
      <c r="AU16" s="419" t="n">
        <f aca="false">IF('APA Inputs'!$C$31="",0,(IF(AND(AU$4&gt;='APA Inputs'!$C$31,AU$4&lt;EDATE('APA Inputs'!$C$31,N('APA Inputs'!$D$31))),'APA Inputs'!$J$31,0)+IF(N('APA Inputs'!$H$31)&gt;0,IF(AU$4=EDATE('APA Inputs'!$C$31,'APA Inputs'!$H$31-1),N('APA Inputs'!$G$31),0),0))*IF('APA Inputs'!$I$31="",1,'APA Inputs'!$I$31))</f>
        <v>0</v>
      </c>
      <c r="AV16" s="419" t="n">
        <f aca="false">IF('APA Inputs'!$C$31="",0,(IF(AND(AV$4&gt;='APA Inputs'!$C$31,AV$4&lt;EDATE('APA Inputs'!$C$31,N('APA Inputs'!$D$31))),'APA Inputs'!$J$31,0)+IF(N('APA Inputs'!$H$31)&gt;0,IF(AV$4=EDATE('APA Inputs'!$C$31,'APA Inputs'!$H$31-1),N('APA Inputs'!$G$31),0),0))*IF('APA Inputs'!$I$31="",1,'APA Inputs'!$I$31))</f>
        <v>0</v>
      </c>
      <c r="AW16" s="419" t="n">
        <f aca="false">IF('APA Inputs'!$C$31="",0,(IF(AND(AW$4&gt;='APA Inputs'!$C$31,AW$4&lt;EDATE('APA Inputs'!$C$31,N('APA Inputs'!$D$31))),'APA Inputs'!$J$31,0)+IF(N('APA Inputs'!$H$31)&gt;0,IF(AW$4=EDATE('APA Inputs'!$C$31,'APA Inputs'!$H$31-1),N('APA Inputs'!$G$31),0),0))*IF('APA Inputs'!$I$31="",1,'APA Inputs'!$I$31))</f>
        <v>0</v>
      </c>
      <c r="AX16" s="419" t="n">
        <f aca="false">IF('APA Inputs'!$C$31="",0,(IF(AND(AX$4&gt;='APA Inputs'!$C$31,AX$4&lt;EDATE('APA Inputs'!$C$31,N('APA Inputs'!$D$31))),'APA Inputs'!$J$31,0)+IF(N('APA Inputs'!$H$31)&gt;0,IF(AX$4=EDATE('APA Inputs'!$C$31,'APA Inputs'!$H$31-1),N('APA Inputs'!$G$31),0),0))*IF('APA Inputs'!$I$31="",1,'APA Inputs'!$I$31))</f>
        <v>0</v>
      </c>
      <c r="AY16" s="419" t="n">
        <f aca="false">IF('APA Inputs'!$C$31="",0,(IF(AND(AY$4&gt;='APA Inputs'!$C$31,AY$4&lt;EDATE('APA Inputs'!$C$31,N('APA Inputs'!$D$31))),'APA Inputs'!$J$31,0)+IF(N('APA Inputs'!$H$31)&gt;0,IF(AY$4=EDATE('APA Inputs'!$C$31,'APA Inputs'!$H$31-1),N('APA Inputs'!$G$31),0),0))*IF('APA Inputs'!$I$31="",1,'APA Inputs'!$I$31))</f>
        <v>0</v>
      </c>
      <c r="AZ16" s="419" t="n">
        <f aca="false">IF('APA Inputs'!$C$31="",0,(IF(AND(AZ$4&gt;='APA Inputs'!$C$31,AZ$4&lt;EDATE('APA Inputs'!$C$31,N('APA Inputs'!$D$31))),'APA Inputs'!$J$31,0)+IF(N('APA Inputs'!$H$31)&gt;0,IF(AZ$4=EDATE('APA Inputs'!$C$31,'APA Inputs'!$H$31-1),N('APA Inputs'!$G$31),0),0))*IF('APA Inputs'!$I$31="",1,'APA Inputs'!$I$31))</f>
        <v>0</v>
      </c>
      <c r="BA16" s="419" t="n">
        <f aca="false">IF('APA Inputs'!$C$31="",0,(IF(AND(BA$4&gt;='APA Inputs'!$C$31,BA$4&lt;EDATE('APA Inputs'!$C$31,N('APA Inputs'!$D$31))),'APA Inputs'!$J$31,0)+IF(N('APA Inputs'!$H$31)&gt;0,IF(BA$4=EDATE('APA Inputs'!$C$31,'APA Inputs'!$H$31-1),N('APA Inputs'!$G$31),0),0))*IF('APA Inputs'!$I$31="",1,'APA Inputs'!$I$31))</f>
        <v>0</v>
      </c>
      <c r="BB16" s="419" t="n">
        <f aca="false">IF('APA Inputs'!$C$31="",0,(IF(AND(BB$4&gt;='APA Inputs'!$C$31,BB$4&lt;EDATE('APA Inputs'!$C$31,N('APA Inputs'!$D$31))),'APA Inputs'!$J$31,0)+IF(N('APA Inputs'!$H$31)&gt;0,IF(BB$4=EDATE('APA Inputs'!$C$31,'APA Inputs'!$H$31-1),N('APA Inputs'!$G$31),0),0))*IF('APA Inputs'!$I$31="",1,'APA Inputs'!$I$31))</f>
        <v>0</v>
      </c>
      <c r="BC16" s="419" t="n">
        <f aca="false">IF('APA Inputs'!$C$31="",0,(IF(AND(BC$4&gt;='APA Inputs'!$C$31,BC$4&lt;EDATE('APA Inputs'!$C$31,N('APA Inputs'!$D$31))),'APA Inputs'!$J$31,0)+IF(N('APA Inputs'!$H$31)&gt;0,IF(BC$4=EDATE('APA Inputs'!$C$31,'APA Inputs'!$H$31-1),N('APA Inputs'!$G$31),0),0))*IF('APA Inputs'!$I$31="",1,'APA Inputs'!$I$31))</f>
        <v>0</v>
      </c>
      <c r="BD16" s="419" t="n">
        <f aca="false">IF('APA Inputs'!$C$31="",0,(IF(AND(BD$4&gt;='APA Inputs'!$C$31,BD$4&lt;EDATE('APA Inputs'!$C$31,N('APA Inputs'!$D$31))),'APA Inputs'!$J$31,0)+IF(N('APA Inputs'!$H$31)&gt;0,IF(BD$4=EDATE('APA Inputs'!$C$31,'APA Inputs'!$H$31-1),N('APA Inputs'!$G$31),0),0))*IF('APA Inputs'!$I$31="",1,'APA Inputs'!$I$31))</f>
        <v>0</v>
      </c>
      <c r="BE16" s="419" t="n">
        <f aca="false">IF('APA Inputs'!$C$31="",0,(IF(AND(BE$4&gt;='APA Inputs'!$C$31,BE$4&lt;EDATE('APA Inputs'!$C$31,N('APA Inputs'!$D$31))),'APA Inputs'!$J$31,0)+IF(N('APA Inputs'!$H$31)&gt;0,IF(BE$4=EDATE('APA Inputs'!$C$31,'APA Inputs'!$H$31-1),N('APA Inputs'!$G$31),0),0))*IF('APA Inputs'!$I$31="",1,'APA Inputs'!$I$31))</f>
        <v>0</v>
      </c>
      <c r="BF16" s="419" t="n">
        <f aca="false">IF('APA Inputs'!$C$31="",0,(IF(AND(BF$4&gt;='APA Inputs'!$C$31,BF$4&lt;EDATE('APA Inputs'!$C$31,N('APA Inputs'!$D$31))),'APA Inputs'!$J$31,0)+IF(N('APA Inputs'!$H$31)&gt;0,IF(BF$4=EDATE('APA Inputs'!$C$31,'APA Inputs'!$H$31-1),N('APA Inputs'!$G$31),0),0))*IF('APA Inputs'!$I$31="",1,'APA Inputs'!$I$31))</f>
        <v>0</v>
      </c>
      <c r="BG16" s="419" t="n">
        <f aca="false">IF('APA Inputs'!$C$31="",0,(IF(AND(BG$4&gt;='APA Inputs'!$C$31,BG$4&lt;EDATE('APA Inputs'!$C$31,N('APA Inputs'!$D$31))),'APA Inputs'!$J$31,0)+IF(N('APA Inputs'!$H$31)&gt;0,IF(BG$4=EDATE('APA Inputs'!$C$31,'APA Inputs'!$H$31-1),N('APA Inputs'!$G$31),0),0))*IF('APA Inputs'!$I$31="",1,'APA Inputs'!$I$31))</f>
        <v>0</v>
      </c>
      <c r="BH16" s="419" t="n">
        <f aca="false">IF('APA Inputs'!$C$31="",0,(IF(AND(BH$4&gt;='APA Inputs'!$C$31,BH$4&lt;EDATE('APA Inputs'!$C$31,N('APA Inputs'!$D$31))),'APA Inputs'!$J$31,0)+IF(N('APA Inputs'!$H$31)&gt;0,IF(BH$4=EDATE('APA Inputs'!$C$31,'APA Inputs'!$H$31-1),N('APA Inputs'!$G$31),0),0))*IF('APA Inputs'!$I$31="",1,'APA Inputs'!$I$31))</f>
        <v>0</v>
      </c>
      <c r="BI16" s="419" t="n">
        <f aca="false">IF('APA Inputs'!$C$31="",0,(IF(AND(BI$4&gt;='APA Inputs'!$C$31,BI$4&lt;EDATE('APA Inputs'!$C$31,N('APA Inputs'!$D$31))),'APA Inputs'!$J$31,0)+IF(N('APA Inputs'!$H$31)&gt;0,IF(BI$4=EDATE('APA Inputs'!$C$31,'APA Inputs'!$H$31-1),N('APA Inputs'!$G$31),0),0))*IF('APA Inputs'!$I$31="",1,'APA Inputs'!$I$31))</f>
        <v>0</v>
      </c>
      <c r="BJ16" s="419" t="n">
        <f aca="false">IF('APA Inputs'!$C$31="",0,(IF(AND(BJ$4&gt;='APA Inputs'!$C$31,BJ$4&lt;EDATE('APA Inputs'!$C$31,N('APA Inputs'!$D$31))),'APA Inputs'!$J$31,0)+IF(N('APA Inputs'!$H$31)&gt;0,IF(BJ$4=EDATE('APA Inputs'!$C$31,'APA Inputs'!$H$31-1),N('APA Inputs'!$G$31),0),0))*IF('APA Inputs'!$I$31="",1,'APA Inputs'!$I$31))</f>
        <v>0</v>
      </c>
      <c r="BK16" s="419" t="n">
        <f aca="false">IF('APA Inputs'!$C$31="",0,(IF(AND(BK$4&gt;='APA Inputs'!$C$31,BK$4&lt;EDATE('APA Inputs'!$C$31,N('APA Inputs'!$D$31))),'APA Inputs'!$J$31,0)+IF(N('APA Inputs'!$H$31)&gt;0,IF(BK$4=EDATE('APA Inputs'!$C$31,'APA Inputs'!$H$31-1),N('APA Inputs'!$G$31),0),0))*IF('APA Inputs'!$I$31="",1,'APA Inputs'!$I$31))</f>
        <v>0</v>
      </c>
      <c r="BL16" s="419" t="n">
        <f aca="false">IF('APA Inputs'!$C$31="",0,(IF(AND(BL$4&gt;='APA Inputs'!$C$31,BL$4&lt;EDATE('APA Inputs'!$C$31,N('APA Inputs'!$D$31))),'APA Inputs'!$J$31,0)+IF(N('APA Inputs'!$H$31)&gt;0,IF(BL$4=EDATE('APA Inputs'!$C$31,'APA Inputs'!$H$31-1),N('APA Inputs'!$G$31),0),0))*IF('APA Inputs'!$I$31="",1,'APA Inputs'!$I$31))</f>
        <v>0</v>
      </c>
      <c r="BM16" s="419" t="n">
        <f aca="false">IF('APA Inputs'!$C$31="",0,(IF(AND(BM$4&gt;='APA Inputs'!$C$31,BM$4&lt;EDATE('APA Inputs'!$C$31,N('APA Inputs'!$D$31))),'APA Inputs'!$J$31,0)+IF(N('APA Inputs'!$H$31)&gt;0,IF(BM$4=EDATE('APA Inputs'!$C$31,'APA Inputs'!$H$31-1),N('APA Inputs'!$G$31),0),0))*IF('APA Inputs'!$I$31="",1,'APA Inputs'!$I$31))</f>
        <v>0</v>
      </c>
      <c r="BN16" s="419" t="n">
        <f aca="false">IF('APA Inputs'!$C$31="",0,(IF(AND(BN$4&gt;='APA Inputs'!$C$31,BN$4&lt;EDATE('APA Inputs'!$C$31,N('APA Inputs'!$D$31))),'APA Inputs'!$J$31,0)+IF(N('APA Inputs'!$H$31)&gt;0,IF(BN$4=EDATE('APA Inputs'!$C$31,'APA Inputs'!$H$31-1),N('APA Inputs'!$G$31),0),0))*IF('APA Inputs'!$I$31="",1,'APA Inputs'!$I$31))</f>
        <v>0</v>
      </c>
      <c r="BO16" s="419" t="n">
        <f aca="false">IF('APA Inputs'!$C$31="",0,(IF(AND(BO$4&gt;='APA Inputs'!$C$31,BO$4&lt;EDATE('APA Inputs'!$C$31,N('APA Inputs'!$D$31))),'APA Inputs'!$J$31,0)+IF(N('APA Inputs'!$H$31)&gt;0,IF(BO$4=EDATE('APA Inputs'!$C$31,'APA Inputs'!$H$31-1),N('APA Inputs'!$G$31),0),0))*IF('APA Inputs'!$I$31="",1,'APA Inputs'!$I$31))</f>
        <v>0</v>
      </c>
      <c r="BP16" s="419" t="n">
        <f aca="false">IF('APA Inputs'!$C$31="",0,(IF(AND(BP$4&gt;='APA Inputs'!$C$31,BP$4&lt;EDATE('APA Inputs'!$C$31,N('APA Inputs'!$D$31))),'APA Inputs'!$J$31,0)+IF(N('APA Inputs'!$H$31)&gt;0,IF(BP$4=EDATE('APA Inputs'!$C$31,'APA Inputs'!$H$31-1),N('APA Inputs'!$G$31),0),0))*IF('APA Inputs'!$I$31="",1,'APA Inputs'!$I$31))</f>
        <v>0</v>
      </c>
      <c r="BQ16" s="419" t="n">
        <f aca="false">IF('APA Inputs'!$C$31="",0,(IF(AND(BQ$4&gt;='APA Inputs'!$C$31,BQ$4&lt;EDATE('APA Inputs'!$C$31,N('APA Inputs'!$D$31))),'APA Inputs'!$J$31,0)+IF(N('APA Inputs'!$H$31)&gt;0,IF(BQ$4=EDATE('APA Inputs'!$C$31,'APA Inputs'!$H$31-1),N('APA Inputs'!$G$31),0),0))*IF('APA Inputs'!$I$31="",1,'APA Inputs'!$I$31))</f>
        <v>0</v>
      </c>
      <c r="BR16" s="419" t="n">
        <f aca="false">IF('APA Inputs'!$C$31="",0,(IF(AND(BR$4&gt;='APA Inputs'!$C$31,BR$4&lt;EDATE('APA Inputs'!$C$31,N('APA Inputs'!$D$31))),'APA Inputs'!$J$31,0)+IF(N('APA Inputs'!$H$31)&gt;0,IF(BR$4=EDATE('APA Inputs'!$C$31,'APA Inputs'!$H$31-1),N('APA Inputs'!$G$31),0),0))*IF('APA Inputs'!$I$31="",1,'APA Inputs'!$I$31))</f>
        <v>0</v>
      </c>
      <c r="BS16" s="419" t="n">
        <f aca="false">IF('APA Inputs'!$C$31="",0,(IF(AND(BS$4&gt;='APA Inputs'!$C$31,BS$4&lt;EDATE('APA Inputs'!$C$31,N('APA Inputs'!$D$31))),'APA Inputs'!$J$31,0)+IF(N('APA Inputs'!$H$31)&gt;0,IF(BS$4=EDATE('APA Inputs'!$C$31,'APA Inputs'!$H$31-1),N('APA Inputs'!$G$31),0),0))*IF('APA Inputs'!$I$31="",1,'APA Inputs'!$I$31))</f>
        <v>0</v>
      </c>
      <c r="BT16" s="419" t="n">
        <f aca="false">IF('APA Inputs'!$C$31="",0,(IF(AND(BT$4&gt;='APA Inputs'!$C$31,BT$4&lt;EDATE('APA Inputs'!$C$31,N('APA Inputs'!$D$31))),'APA Inputs'!$J$31,0)+IF(N('APA Inputs'!$H$31)&gt;0,IF(BT$4=EDATE('APA Inputs'!$C$31,'APA Inputs'!$H$31-1),N('APA Inputs'!$G$31),0),0))*IF('APA Inputs'!$I$31="",1,'APA Inputs'!$I$31))</f>
        <v>0</v>
      </c>
      <c r="BU16" s="419" t="n">
        <f aca="false">IF('APA Inputs'!$C$31="",0,(IF(AND(BU$4&gt;='APA Inputs'!$C$31,BU$4&lt;EDATE('APA Inputs'!$C$31,N('APA Inputs'!$D$31))),'APA Inputs'!$J$31,0)+IF(N('APA Inputs'!$H$31)&gt;0,IF(BU$4=EDATE('APA Inputs'!$C$31,'APA Inputs'!$H$31-1),N('APA Inputs'!$G$31),0),0))*IF('APA Inputs'!$I$31="",1,'APA Inputs'!$I$31))</f>
        <v>0</v>
      </c>
      <c r="BV16" s="419" t="n">
        <f aca="false">IF('APA Inputs'!$C$31="",0,(IF(AND(BV$4&gt;='APA Inputs'!$C$31,BV$4&lt;EDATE('APA Inputs'!$C$31,N('APA Inputs'!$D$31))),'APA Inputs'!$J$31,0)+IF(N('APA Inputs'!$H$31)&gt;0,IF(BV$4=EDATE('APA Inputs'!$C$31,'APA Inputs'!$H$31-1),N('APA Inputs'!$G$31),0),0))*IF('APA Inputs'!$I$31="",1,'APA Inputs'!$I$31))</f>
        <v>0</v>
      </c>
      <c r="BW16" s="419" t="n">
        <f aca="false">IF('APA Inputs'!$C$31="",0,(IF(AND(BW$4&gt;='APA Inputs'!$C$31,BW$4&lt;EDATE('APA Inputs'!$C$31,N('APA Inputs'!$D$31))),'APA Inputs'!$J$31,0)+IF(N('APA Inputs'!$H$31)&gt;0,IF(BW$4=EDATE('APA Inputs'!$C$31,'APA Inputs'!$H$31-1),N('APA Inputs'!$G$31),0),0))*IF('APA Inputs'!$I$31="",1,'APA Inputs'!$I$31))</f>
        <v>0</v>
      </c>
      <c r="BX16" s="419" t="n">
        <f aca="false">IF('APA Inputs'!$C$31="",0,(IF(AND(BX$4&gt;='APA Inputs'!$C$31,BX$4&lt;EDATE('APA Inputs'!$C$31,N('APA Inputs'!$D$31))),'APA Inputs'!$J$31,0)+IF(N('APA Inputs'!$H$31)&gt;0,IF(BX$4=EDATE('APA Inputs'!$C$31,'APA Inputs'!$H$31-1),N('APA Inputs'!$G$31),0),0))*IF('APA Inputs'!$I$31="",1,'APA Inputs'!$I$31))</f>
        <v>0</v>
      </c>
      <c r="BY16" s="419" t="n">
        <f aca="false">IF('APA Inputs'!$C$31="",0,(IF(AND(BY$4&gt;='APA Inputs'!$C$31,BY$4&lt;EDATE('APA Inputs'!$C$31,N('APA Inputs'!$D$31))),'APA Inputs'!$J$31,0)+IF(N('APA Inputs'!$H$31)&gt;0,IF(BY$4=EDATE('APA Inputs'!$C$31,'APA Inputs'!$H$31-1),N('APA Inputs'!$G$31),0),0))*IF('APA Inputs'!$I$31="",1,'APA Inputs'!$I$31))</f>
        <v>0</v>
      </c>
      <c r="BZ16" s="419" t="n">
        <f aca="false">IF('APA Inputs'!$C$31="",0,(IF(AND(BZ$4&gt;='APA Inputs'!$C$31,BZ$4&lt;EDATE('APA Inputs'!$C$31,N('APA Inputs'!$D$31))),'APA Inputs'!$J$31,0)+IF(N('APA Inputs'!$H$31)&gt;0,IF(BZ$4=EDATE('APA Inputs'!$C$31,'APA Inputs'!$H$31-1),N('APA Inputs'!$G$31),0),0))*IF('APA Inputs'!$I$31="",1,'APA Inputs'!$I$31))</f>
        <v>0</v>
      </c>
      <c r="CA16" s="419" t="n">
        <f aca="false">IF('APA Inputs'!$C$31="",0,(IF(AND(CA$4&gt;='APA Inputs'!$C$31,CA$4&lt;EDATE('APA Inputs'!$C$31,N('APA Inputs'!$D$31))),'APA Inputs'!$J$31,0)+IF(N('APA Inputs'!$H$31)&gt;0,IF(CA$4=EDATE('APA Inputs'!$C$31,'APA Inputs'!$H$31-1),N('APA Inputs'!$G$31),0),0))*IF('APA Inputs'!$I$31="",1,'APA Inputs'!$I$31))</f>
        <v>0</v>
      </c>
      <c r="CB16" s="419" t="n">
        <f aca="false">IF('APA Inputs'!$C$31="",0,(IF(AND(CB$4&gt;='APA Inputs'!$C$31,CB$4&lt;EDATE('APA Inputs'!$C$31,N('APA Inputs'!$D$31))),'APA Inputs'!$J$31,0)+IF(N('APA Inputs'!$H$31)&gt;0,IF(CB$4=EDATE('APA Inputs'!$C$31,'APA Inputs'!$H$31-1),N('APA Inputs'!$G$31),0),0))*IF('APA Inputs'!$I$31="",1,'APA Inputs'!$I$31))</f>
        <v>0</v>
      </c>
      <c r="CC16" s="419" t="n">
        <f aca="false">IF('APA Inputs'!$C$31="",0,(IF(AND(CC$4&gt;='APA Inputs'!$C$31,CC$4&lt;EDATE('APA Inputs'!$C$31,N('APA Inputs'!$D$31))),'APA Inputs'!$J$31,0)+IF(N('APA Inputs'!$H$31)&gt;0,IF(CC$4=EDATE('APA Inputs'!$C$31,'APA Inputs'!$H$31-1),N('APA Inputs'!$G$31),0),0))*IF('APA Inputs'!$I$31="",1,'APA Inputs'!$I$31))</f>
        <v>0</v>
      </c>
      <c r="CD16" s="419" t="n">
        <f aca="false">IF('APA Inputs'!$C$31="",0,(IF(AND(CD$4&gt;='APA Inputs'!$C$31,CD$4&lt;EDATE('APA Inputs'!$C$31,N('APA Inputs'!$D$31))),'APA Inputs'!$J$31,0)+IF(N('APA Inputs'!$H$31)&gt;0,IF(CD$4=EDATE('APA Inputs'!$C$31,'APA Inputs'!$H$31-1),N('APA Inputs'!$G$31),0),0))*IF('APA Inputs'!$I$31="",1,'APA Inputs'!$I$31))</f>
        <v>0</v>
      </c>
      <c r="CE16" s="419" t="n">
        <f aca="false">IF('APA Inputs'!$C$31="",0,(IF(AND(CE$4&gt;='APA Inputs'!$C$31,CE$4&lt;EDATE('APA Inputs'!$C$31,N('APA Inputs'!$D$31))),'APA Inputs'!$J$31,0)+IF(N('APA Inputs'!$H$31)&gt;0,IF(CE$4=EDATE('APA Inputs'!$C$31,'APA Inputs'!$H$31-1),N('APA Inputs'!$G$31),0),0))*IF('APA Inputs'!$I$31="",1,'APA Inputs'!$I$31))</f>
        <v>0</v>
      </c>
      <c r="CF16" s="419" t="n">
        <f aca="false">IF('APA Inputs'!$C$31="",0,(IF(AND(CF$4&gt;='APA Inputs'!$C$31,CF$4&lt;EDATE('APA Inputs'!$C$31,N('APA Inputs'!$D$31))),'APA Inputs'!$J$31,0)+IF(N('APA Inputs'!$H$31)&gt;0,IF(CF$4=EDATE('APA Inputs'!$C$31,'APA Inputs'!$H$31-1),N('APA Inputs'!$G$31),0),0))*IF('APA Inputs'!$I$31="",1,'APA Inputs'!$I$31))</f>
        <v>0</v>
      </c>
      <c r="CG16" s="419" t="n">
        <f aca="false">IF('APA Inputs'!$C$31="",0,(IF(AND(CG$4&gt;='APA Inputs'!$C$31,CG$4&lt;EDATE('APA Inputs'!$C$31,N('APA Inputs'!$D$31))),'APA Inputs'!$J$31,0)+IF(N('APA Inputs'!$H$31)&gt;0,IF(CG$4=EDATE('APA Inputs'!$C$31,'APA Inputs'!$H$31-1),N('APA Inputs'!$G$31),0),0))*IF('APA Inputs'!$I$31="",1,'APA Inputs'!$I$31))</f>
        <v>0</v>
      </c>
      <c r="CH16" s="419" t="n">
        <f aca="false">IF('APA Inputs'!$C$31="",0,(IF(AND(CH$4&gt;='APA Inputs'!$C$31,CH$4&lt;EDATE('APA Inputs'!$C$31,N('APA Inputs'!$D$31))),'APA Inputs'!$J$31,0)+IF(N('APA Inputs'!$H$31)&gt;0,IF(CH$4=EDATE('APA Inputs'!$C$31,'APA Inputs'!$H$31-1),N('APA Inputs'!$G$31),0),0))*IF('APA Inputs'!$I$31="",1,'APA Inputs'!$I$31))</f>
        <v>0</v>
      </c>
      <c r="CI16" s="419" t="n">
        <f aca="false">IF('APA Inputs'!$C$31="",0,(IF(AND(CI$4&gt;='APA Inputs'!$C$31,CI$4&lt;EDATE('APA Inputs'!$C$31,N('APA Inputs'!$D$31))),'APA Inputs'!$J$31,0)+IF(N('APA Inputs'!$H$31)&gt;0,IF(CI$4=EDATE('APA Inputs'!$C$31,'APA Inputs'!$H$31-1),N('APA Inputs'!$G$31),0),0))*IF('APA Inputs'!$I$31="",1,'APA Inputs'!$I$31))</f>
        <v>0</v>
      </c>
      <c r="CJ16" s="419" t="n">
        <f aca="false">IF('APA Inputs'!$C$31="",0,(IF(AND(CJ$4&gt;='APA Inputs'!$C$31,CJ$4&lt;EDATE('APA Inputs'!$C$31,N('APA Inputs'!$D$31))),'APA Inputs'!$J$31,0)+IF(N('APA Inputs'!$H$31)&gt;0,IF(CJ$4=EDATE('APA Inputs'!$C$31,'APA Inputs'!$H$31-1),N('APA Inputs'!$G$31),0),0))*IF('APA Inputs'!$I$31="",1,'APA Inputs'!$I$31))</f>
        <v>0</v>
      </c>
      <c r="CK16" s="419" t="n">
        <f aca="false">IF('APA Inputs'!$C$31="",0,(IF(AND(CK$4&gt;='APA Inputs'!$C$31,CK$4&lt;EDATE('APA Inputs'!$C$31,N('APA Inputs'!$D$31))),'APA Inputs'!$J$31,0)+IF(N('APA Inputs'!$H$31)&gt;0,IF(CK$4=EDATE('APA Inputs'!$C$31,'APA Inputs'!$H$31-1),N('APA Inputs'!$G$31),0),0))*IF('APA Inputs'!$I$31="",1,'APA Inputs'!$I$31))</f>
        <v>0</v>
      </c>
      <c r="CL16" s="419" t="n">
        <f aca="false">IF('APA Inputs'!$C$31="",0,(IF(AND(CL$4&gt;='APA Inputs'!$C$31,CL$4&lt;EDATE('APA Inputs'!$C$31,N('APA Inputs'!$D$31))),'APA Inputs'!$J$31,0)+IF(N('APA Inputs'!$H$31)&gt;0,IF(CL$4=EDATE('APA Inputs'!$C$31,'APA Inputs'!$H$31-1),N('APA Inputs'!$G$31),0),0))*IF('APA Inputs'!$I$31="",1,'APA Inputs'!$I$31))</f>
        <v>0</v>
      </c>
      <c r="CM16" s="419" t="n">
        <f aca="false">IF('APA Inputs'!$C$31="",0,(IF(AND(CM$4&gt;='APA Inputs'!$C$31,CM$4&lt;EDATE('APA Inputs'!$C$31,N('APA Inputs'!$D$31))),'APA Inputs'!$J$31,0)+IF(N('APA Inputs'!$H$31)&gt;0,IF(CM$4=EDATE('APA Inputs'!$C$31,'APA Inputs'!$H$31-1),N('APA Inputs'!$G$31),0),0))*IF('APA Inputs'!$I$31="",1,'APA Inputs'!$I$31))</f>
        <v>0</v>
      </c>
      <c r="CN16" s="419" t="n">
        <f aca="false">IF('APA Inputs'!$C$31="",0,(IF(AND(CN$4&gt;='APA Inputs'!$C$31,CN$4&lt;EDATE('APA Inputs'!$C$31,N('APA Inputs'!$D$31))),'APA Inputs'!$J$31,0)+IF(N('APA Inputs'!$H$31)&gt;0,IF(CN$4=EDATE('APA Inputs'!$C$31,'APA Inputs'!$H$31-1),N('APA Inputs'!$G$31),0),0))*IF('APA Inputs'!$I$31="",1,'APA Inputs'!$I$31))</f>
        <v>0</v>
      </c>
      <c r="CO16" s="419" t="n">
        <f aca="false">IF('APA Inputs'!$C$31="",0,(IF(AND(CO$4&gt;='APA Inputs'!$C$31,CO$4&lt;EDATE('APA Inputs'!$C$31,N('APA Inputs'!$D$31))),'APA Inputs'!$J$31,0)+IF(N('APA Inputs'!$H$31)&gt;0,IF(CO$4=EDATE('APA Inputs'!$C$31,'APA Inputs'!$H$31-1),N('APA Inputs'!$G$31),0),0))*IF('APA Inputs'!$I$31="",1,'APA Inputs'!$I$31))</f>
        <v>0</v>
      </c>
      <c r="CP16" s="419" t="n">
        <f aca="false">IF('APA Inputs'!$C$31="",0,(IF(AND(CP$4&gt;='APA Inputs'!$C$31,CP$4&lt;EDATE('APA Inputs'!$C$31,N('APA Inputs'!$D$31))),'APA Inputs'!$J$31,0)+IF(N('APA Inputs'!$H$31)&gt;0,IF(CP$4=EDATE('APA Inputs'!$C$31,'APA Inputs'!$H$31-1),N('APA Inputs'!$G$31),0),0))*IF('APA Inputs'!$I$31="",1,'APA Inputs'!$I$31))</f>
        <v>0</v>
      </c>
      <c r="CQ16" s="419" t="n">
        <f aca="false">IF('APA Inputs'!$C$31="",0,(IF(AND(CQ$4&gt;='APA Inputs'!$C$31,CQ$4&lt;EDATE('APA Inputs'!$C$31,N('APA Inputs'!$D$31))),'APA Inputs'!$J$31,0)+IF(N('APA Inputs'!$H$31)&gt;0,IF(CQ$4=EDATE('APA Inputs'!$C$31,'APA Inputs'!$H$31-1),N('APA Inputs'!$G$31),0),0))*IF('APA Inputs'!$I$31="",1,'APA Inputs'!$I$31))</f>
        <v>0</v>
      </c>
      <c r="CR16" s="419" t="n">
        <f aca="false">IF('APA Inputs'!$C$31="",0,(IF(AND(CR$4&gt;='APA Inputs'!$C$31,CR$4&lt;EDATE('APA Inputs'!$C$31,N('APA Inputs'!$D$31))),'APA Inputs'!$J$31,0)+IF(N('APA Inputs'!$H$31)&gt;0,IF(CR$4=EDATE('APA Inputs'!$C$31,'APA Inputs'!$H$31-1),N('APA Inputs'!$G$31),0),0))*IF('APA Inputs'!$I$31="",1,'APA Inputs'!$I$31))</f>
        <v>0</v>
      </c>
      <c r="CS16" s="419" t="n">
        <f aca="false">IF('APA Inputs'!$C$31="",0,(IF(AND(CS$4&gt;='APA Inputs'!$C$31,CS$4&lt;EDATE('APA Inputs'!$C$31,N('APA Inputs'!$D$31))),'APA Inputs'!$J$31,0)+IF(N('APA Inputs'!$H$31)&gt;0,IF(CS$4=EDATE('APA Inputs'!$C$31,'APA Inputs'!$H$31-1),N('APA Inputs'!$G$31),0),0))*IF('APA Inputs'!$I$31="",1,'APA Inputs'!$I$31))</f>
        <v>0</v>
      </c>
      <c r="CT16" s="419" t="n">
        <f aca="false">IF('APA Inputs'!$C$31="",0,(IF(AND(CT$4&gt;='APA Inputs'!$C$31,CT$4&lt;EDATE('APA Inputs'!$C$31,N('APA Inputs'!$D$31))),'APA Inputs'!$J$31,0)+IF(N('APA Inputs'!$H$31)&gt;0,IF(CT$4=EDATE('APA Inputs'!$C$31,'APA Inputs'!$H$31-1),N('APA Inputs'!$G$31),0),0))*IF('APA Inputs'!$I$31="",1,'APA Inputs'!$I$31))</f>
        <v>0</v>
      </c>
      <c r="CU16" s="419" t="n">
        <f aca="false">IF('APA Inputs'!$C$31="",0,(IF(AND(CU$4&gt;='APA Inputs'!$C$31,CU$4&lt;EDATE('APA Inputs'!$C$31,N('APA Inputs'!$D$31))),'APA Inputs'!$J$31,0)+IF(N('APA Inputs'!$H$31)&gt;0,IF(CU$4=EDATE('APA Inputs'!$C$31,'APA Inputs'!$H$31-1),N('APA Inputs'!$G$31),0),0))*IF('APA Inputs'!$I$31="",1,'APA Inputs'!$I$31))</f>
        <v>0</v>
      </c>
      <c r="CV16" s="419" t="n">
        <f aca="false">IF('APA Inputs'!$C$31="",0,(IF(AND(CV$4&gt;='APA Inputs'!$C$31,CV$4&lt;EDATE('APA Inputs'!$C$31,N('APA Inputs'!$D$31))),'APA Inputs'!$J$31,0)+IF(N('APA Inputs'!$H$31)&gt;0,IF(CV$4=EDATE('APA Inputs'!$C$31,'APA Inputs'!$H$31-1),N('APA Inputs'!$G$31),0),0))*IF('APA Inputs'!$I$31="",1,'APA Inputs'!$I$31))</f>
        <v>0</v>
      </c>
      <c r="CW16" s="419" t="n">
        <f aca="false">IF('APA Inputs'!$C$31="",0,(IF(AND(CW$4&gt;='APA Inputs'!$C$31,CW$4&lt;EDATE('APA Inputs'!$C$31,N('APA Inputs'!$D$31))),'APA Inputs'!$J$31,0)+IF(N('APA Inputs'!$H$31)&gt;0,IF(CW$4=EDATE('APA Inputs'!$C$31,'APA Inputs'!$H$31-1),N('APA Inputs'!$G$31),0),0))*IF('APA Inputs'!$I$31="",1,'APA Inputs'!$I$31))</f>
        <v>0</v>
      </c>
      <c r="CX16" s="419" t="n">
        <f aca="false">IF('APA Inputs'!$C$31="",0,(IF(AND(CX$4&gt;='APA Inputs'!$C$31,CX$4&lt;EDATE('APA Inputs'!$C$31,N('APA Inputs'!$D$31))),'APA Inputs'!$J$31,0)+IF(N('APA Inputs'!$H$31)&gt;0,IF(CX$4=EDATE('APA Inputs'!$C$31,'APA Inputs'!$H$31-1),N('APA Inputs'!$G$31),0),0))*IF('APA Inputs'!$I$31="",1,'APA Inputs'!$I$31))</f>
        <v>0</v>
      </c>
      <c r="CY16" s="419" t="n">
        <f aca="false">IF('APA Inputs'!$C$31="",0,(IF(AND(CY$4&gt;='APA Inputs'!$C$31,CY$4&lt;EDATE('APA Inputs'!$C$31,N('APA Inputs'!$D$31))),'APA Inputs'!$J$31,0)+IF(N('APA Inputs'!$H$31)&gt;0,IF(CY$4=EDATE('APA Inputs'!$C$31,'APA Inputs'!$H$31-1),N('APA Inputs'!$G$31),0),0))*IF('APA Inputs'!$I$31="",1,'APA Inputs'!$I$31))</f>
        <v>0</v>
      </c>
      <c r="CZ16" s="419" t="n">
        <f aca="false">IF('APA Inputs'!$C$31="",0,(IF(AND(CZ$4&gt;='APA Inputs'!$C$31,CZ$4&lt;EDATE('APA Inputs'!$C$31,N('APA Inputs'!$D$31))),'APA Inputs'!$J$31,0)+IF(N('APA Inputs'!$H$31)&gt;0,IF(CZ$4=EDATE('APA Inputs'!$C$31,'APA Inputs'!$H$31-1),N('APA Inputs'!$G$31),0),0))*IF('APA Inputs'!$I$31="",1,'APA Inputs'!$I$31))</f>
        <v>0</v>
      </c>
      <c r="DA16" s="419" t="n">
        <f aca="false">IF('APA Inputs'!$C$31="",0,(IF(AND(DA$4&gt;='APA Inputs'!$C$31,DA$4&lt;EDATE('APA Inputs'!$C$31,N('APA Inputs'!$D$31))),'APA Inputs'!$J$31,0)+IF(N('APA Inputs'!$H$31)&gt;0,IF(DA$4=EDATE('APA Inputs'!$C$31,'APA Inputs'!$H$31-1),N('APA Inputs'!$G$31),0),0))*IF('APA Inputs'!$I$31="",1,'APA Inputs'!$I$31))</f>
        <v>0</v>
      </c>
      <c r="DB16" s="419" t="n">
        <f aca="false">IF('APA Inputs'!$C$31="",0,(IF(AND(DB$4&gt;='APA Inputs'!$C$31,DB$4&lt;EDATE('APA Inputs'!$C$31,N('APA Inputs'!$D$31))),'APA Inputs'!$J$31,0)+IF(N('APA Inputs'!$H$31)&gt;0,IF(DB$4=EDATE('APA Inputs'!$C$31,'APA Inputs'!$H$31-1),N('APA Inputs'!$G$31),0),0))*IF('APA Inputs'!$I$31="",1,'APA Inputs'!$I$31))</f>
        <v>0</v>
      </c>
      <c r="DC16" s="419" t="n">
        <f aca="false">IF('APA Inputs'!$C$31="",0,(IF(AND(DC$4&gt;='APA Inputs'!$C$31,DC$4&lt;EDATE('APA Inputs'!$C$31,N('APA Inputs'!$D$31))),'APA Inputs'!$J$31,0)+IF(N('APA Inputs'!$H$31)&gt;0,IF(DC$4=EDATE('APA Inputs'!$C$31,'APA Inputs'!$H$31-1),N('APA Inputs'!$G$31),0),0))*IF('APA Inputs'!$I$31="",1,'APA Inputs'!$I$31))</f>
        <v>0</v>
      </c>
      <c r="DD16" s="419" t="n">
        <f aca="false">IF('APA Inputs'!$C$31="",0,(IF(AND(DD$4&gt;='APA Inputs'!$C$31,DD$4&lt;EDATE('APA Inputs'!$C$31,N('APA Inputs'!$D$31))),'APA Inputs'!$J$31,0)+IF(N('APA Inputs'!$H$31)&gt;0,IF(DD$4=EDATE('APA Inputs'!$C$31,'APA Inputs'!$H$31-1),N('APA Inputs'!$G$31),0),0))*IF('APA Inputs'!$I$31="",1,'APA Inputs'!$I$31))</f>
        <v>0</v>
      </c>
      <c r="DE16" s="419"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400" t="s">
        <v>1393</v>
      </c>
      <c r="B17" s="419" t="n">
        <f aca="false">SUM(B7:B16)</f>
        <v>0</v>
      </c>
      <c r="C17" s="419" t="n">
        <f aca="false">SUM(C7:C16)</f>
        <v>0</v>
      </c>
      <c r="D17" s="419" t="n">
        <f aca="false">SUM(D7:D16)</f>
        <v>0</v>
      </c>
      <c r="E17" s="419" t="n">
        <f aca="false">SUM(E7:E16)</f>
        <v>0</v>
      </c>
      <c r="F17" s="419" t="n">
        <f aca="false">SUM(F7:F16)</f>
        <v>0</v>
      </c>
      <c r="G17" s="419" t="n">
        <f aca="false">SUM(G7:G16)</f>
        <v>0</v>
      </c>
      <c r="H17" s="419" t="n">
        <f aca="false">SUM(H7:H16)</f>
        <v>10000</v>
      </c>
      <c r="I17" s="419" t="n">
        <f aca="false">SUM(I7:I16)</f>
        <v>14166.66</v>
      </c>
      <c r="J17" s="419" t="n">
        <f aca="false">SUM(J7:J16)</f>
        <v>17499.38</v>
      </c>
      <c r="K17" s="419" t="n">
        <f aca="false">SUM(K7:K16)</f>
        <v>17499.38</v>
      </c>
      <c r="L17" s="419" t="n">
        <f aca="false">SUM(L7:L16)</f>
        <v>17499.38</v>
      </c>
      <c r="M17" s="419" t="n">
        <f aca="false">SUM(M7:M16)</f>
        <v>27249.38</v>
      </c>
      <c r="N17" s="419" t="n">
        <f aca="false">SUM(N7:N16)</f>
        <v>33916.04</v>
      </c>
      <c r="O17" s="419" t="n">
        <f aca="false">SUM(O7:O16)</f>
        <v>17499.38</v>
      </c>
      <c r="P17" s="419" t="n">
        <f aca="false">SUM(P7:P16)</f>
        <v>17499.38</v>
      </c>
      <c r="Q17" s="419" t="n">
        <f aca="false">SUM(Q7:Q16)</f>
        <v>17499.38</v>
      </c>
      <c r="R17" s="419" t="n">
        <f aca="false">SUM(R7:R16)</f>
        <v>17499.38</v>
      </c>
      <c r="S17" s="419" t="n">
        <f aca="false">SUM(S7:S16)</f>
        <v>11665.38</v>
      </c>
      <c r="T17" s="419" t="n">
        <f aca="false">SUM(T7:T16)</f>
        <v>11665.38</v>
      </c>
      <c r="U17" s="419" t="n">
        <f aca="false">SUM(U7:U16)</f>
        <v>11665.38</v>
      </c>
      <c r="V17" s="419" t="n">
        <f aca="false">SUM(V7:V16)</f>
        <v>8332.66</v>
      </c>
      <c r="W17" s="419" t="n">
        <f aca="false">SUM(W7:W16)</f>
        <v>8332.66</v>
      </c>
      <c r="X17" s="419" t="n">
        <f aca="false">SUM(X7:X16)</f>
        <v>8332.66</v>
      </c>
      <c r="Y17" s="419" t="n">
        <f aca="false">SUM(Y7:Y16)</f>
        <v>8332.66</v>
      </c>
      <c r="Z17" s="419" t="n">
        <f aca="false">SUM(Z7:Z16)</f>
        <v>8332.66</v>
      </c>
      <c r="AA17" s="419" t="n">
        <f aca="false">SUM(AA7:AA16)</f>
        <v>8332.66</v>
      </c>
      <c r="AB17" s="419" t="n">
        <f aca="false">SUM(AB7:AB16)</f>
        <v>8332.66</v>
      </c>
      <c r="AC17" s="419" t="n">
        <f aca="false">SUM(AC7:AC16)</f>
        <v>8332.66</v>
      </c>
      <c r="AD17" s="419" t="n">
        <f aca="false">SUM(AD7:AD16)</f>
        <v>8332.66</v>
      </c>
      <c r="AE17" s="419" t="n">
        <f aca="false">SUM(AE7:AE16)</f>
        <v>8332.66</v>
      </c>
      <c r="AF17" s="419" t="n">
        <f aca="false">SUM(AF7:AF16)</f>
        <v>4166.66</v>
      </c>
      <c r="AG17" s="419" t="n">
        <f aca="false">SUM(AG7:AG16)</f>
        <v>0</v>
      </c>
      <c r="AH17" s="419" t="n">
        <f aca="false">SUM(AH7:AH16)</f>
        <v>0</v>
      </c>
      <c r="AI17" s="419" t="n">
        <f aca="false">SUM(AI7:AI16)</f>
        <v>0</v>
      </c>
      <c r="AJ17" s="419" t="n">
        <f aca="false">SUM(AJ7:AJ16)</f>
        <v>0</v>
      </c>
      <c r="AK17" s="419" t="n">
        <f aca="false">SUM(AK7:AK16)</f>
        <v>0</v>
      </c>
      <c r="AL17" s="419" t="n">
        <f aca="false">SUM(AL7:AL16)</f>
        <v>0</v>
      </c>
      <c r="AM17" s="419" t="n">
        <f aca="false">SUM(AM7:AM16)</f>
        <v>0</v>
      </c>
      <c r="AN17" s="419" t="n">
        <f aca="false">SUM(AN7:AN16)</f>
        <v>0</v>
      </c>
      <c r="AO17" s="419" t="n">
        <f aca="false">SUM(AO7:AO16)</f>
        <v>0</v>
      </c>
      <c r="AP17" s="419" t="n">
        <f aca="false">SUM(AP7:AP16)</f>
        <v>0</v>
      </c>
      <c r="AQ17" s="419" t="n">
        <f aca="false">SUM(AQ7:AQ16)</f>
        <v>0</v>
      </c>
      <c r="AR17" s="419" t="n">
        <f aca="false">SUM(AR7:AR16)</f>
        <v>0</v>
      </c>
      <c r="AS17" s="419" t="n">
        <f aca="false">SUM(AS7:AS16)</f>
        <v>0</v>
      </c>
      <c r="AT17" s="419" t="n">
        <f aca="false">SUM(AT7:AT16)</f>
        <v>0</v>
      </c>
      <c r="AU17" s="419" t="n">
        <f aca="false">SUM(AU7:AU16)</f>
        <v>0</v>
      </c>
      <c r="AV17" s="419" t="n">
        <f aca="false">SUM(AV7:AV16)</f>
        <v>0</v>
      </c>
      <c r="AW17" s="419" t="n">
        <f aca="false">SUM(AW7:AW16)</f>
        <v>0</v>
      </c>
      <c r="AX17" s="419" t="n">
        <f aca="false">SUM(AX7:AX16)</f>
        <v>0</v>
      </c>
      <c r="AY17" s="419" t="n">
        <f aca="false">SUM(AY7:AY16)</f>
        <v>0</v>
      </c>
      <c r="AZ17" s="419" t="n">
        <f aca="false">SUM(AZ7:AZ16)</f>
        <v>0</v>
      </c>
      <c r="BA17" s="419" t="n">
        <f aca="false">SUM(BA7:BA16)</f>
        <v>0</v>
      </c>
      <c r="BB17" s="419" t="n">
        <f aca="false">SUM(BB7:BB16)</f>
        <v>0</v>
      </c>
      <c r="BC17" s="419" t="n">
        <f aca="false">SUM(BC7:BC16)</f>
        <v>0</v>
      </c>
      <c r="BD17" s="419" t="n">
        <f aca="false">SUM(BD7:BD16)</f>
        <v>0</v>
      </c>
      <c r="BE17" s="419" t="n">
        <f aca="false">SUM(BE7:BE16)</f>
        <v>0</v>
      </c>
      <c r="BF17" s="419" t="n">
        <f aca="false">SUM(BF7:BF16)</f>
        <v>0</v>
      </c>
      <c r="BG17" s="419" t="n">
        <f aca="false">SUM(BG7:BG16)</f>
        <v>0</v>
      </c>
      <c r="BH17" s="419" t="n">
        <f aca="false">SUM(BH7:BH16)</f>
        <v>0</v>
      </c>
      <c r="BI17" s="419" t="n">
        <f aca="false">SUM(BI7:BI16)</f>
        <v>0</v>
      </c>
      <c r="BJ17" s="419" t="n">
        <f aca="false">SUM(BJ7:BJ16)</f>
        <v>0</v>
      </c>
      <c r="BK17" s="419" t="n">
        <f aca="false">SUM(BK7:BK16)</f>
        <v>0</v>
      </c>
      <c r="BL17" s="419" t="n">
        <f aca="false">SUM(BL7:BL16)</f>
        <v>0</v>
      </c>
      <c r="BM17" s="419" t="n">
        <f aca="false">SUM(BM7:BM16)</f>
        <v>0</v>
      </c>
      <c r="BN17" s="419" t="n">
        <f aca="false">SUM(BN7:BN16)</f>
        <v>0</v>
      </c>
      <c r="BO17" s="419" t="n">
        <f aca="false">SUM(BO7:BO16)</f>
        <v>0</v>
      </c>
      <c r="BP17" s="419" t="n">
        <f aca="false">SUM(BP7:BP16)</f>
        <v>0</v>
      </c>
      <c r="BQ17" s="419" t="n">
        <f aca="false">SUM(BQ7:BQ16)</f>
        <v>0</v>
      </c>
      <c r="BR17" s="419" t="n">
        <f aca="false">SUM(BR7:BR16)</f>
        <v>0</v>
      </c>
      <c r="BS17" s="419" t="n">
        <f aca="false">SUM(BS7:BS16)</f>
        <v>0</v>
      </c>
      <c r="BT17" s="419" t="n">
        <f aca="false">SUM(BT7:BT16)</f>
        <v>0</v>
      </c>
      <c r="BU17" s="419" t="n">
        <f aca="false">SUM(BU7:BU16)</f>
        <v>0</v>
      </c>
      <c r="BV17" s="419" t="n">
        <f aca="false">SUM(BV7:BV16)</f>
        <v>0</v>
      </c>
      <c r="BW17" s="419" t="n">
        <f aca="false">SUM(BW7:BW16)</f>
        <v>0</v>
      </c>
      <c r="BX17" s="419" t="n">
        <f aca="false">SUM(BX7:BX16)</f>
        <v>0</v>
      </c>
      <c r="BY17" s="419" t="n">
        <f aca="false">SUM(BY7:BY16)</f>
        <v>0</v>
      </c>
      <c r="BZ17" s="419" t="n">
        <f aca="false">SUM(BZ7:BZ16)</f>
        <v>0</v>
      </c>
      <c r="CA17" s="419" t="n">
        <f aca="false">SUM(CA7:CA16)</f>
        <v>0</v>
      </c>
      <c r="CB17" s="419" t="n">
        <f aca="false">SUM(CB7:CB16)</f>
        <v>0</v>
      </c>
      <c r="CC17" s="419" t="n">
        <f aca="false">SUM(CC7:CC16)</f>
        <v>0</v>
      </c>
      <c r="CD17" s="419" t="n">
        <f aca="false">SUM(CD7:CD16)</f>
        <v>0</v>
      </c>
      <c r="CE17" s="419" t="n">
        <f aca="false">SUM(CE7:CE16)</f>
        <v>0</v>
      </c>
      <c r="CF17" s="419" t="n">
        <f aca="false">SUM(CF7:CF16)</f>
        <v>0</v>
      </c>
      <c r="CG17" s="419" t="n">
        <f aca="false">SUM(CG7:CG16)</f>
        <v>0</v>
      </c>
      <c r="CH17" s="419" t="n">
        <f aca="false">SUM(CH7:CH16)</f>
        <v>0</v>
      </c>
      <c r="CI17" s="419" t="n">
        <f aca="false">SUM(CI7:CI16)</f>
        <v>0</v>
      </c>
      <c r="CJ17" s="419" t="n">
        <f aca="false">SUM(CJ7:CJ16)</f>
        <v>0</v>
      </c>
      <c r="CK17" s="419" t="n">
        <f aca="false">SUM(CK7:CK16)</f>
        <v>0</v>
      </c>
      <c r="CL17" s="419" t="n">
        <f aca="false">SUM(CL7:CL16)</f>
        <v>0</v>
      </c>
      <c r="CM17" s="419" t="n">
        <f aca="false">SUM(CM7:CM16)</f>
        <v>0</v>
      </c>
      <c r="CN17" s="419" t="n">
        <f aca="false">SUM(CN7:CN16)</f>
        <v>0</v>
      </c>
      <c r="CO17" s="419" t="n">
        <f aca="false">SUM(CO7:CO16)</f>
        <v>0</v>
      </c>
      <c r="CP17" s="419" t="n">
        <f aca="false">SUM(CP7:CP16)</f>
        <v>0</v>
      </c>
      <c r="CQ17" s="419" t="n">
        <f aca="false">SUM(CQ7:CQ16)</f>
        <v>0</v>
      </c>
      <c r="CR17" s="419" t="n">
        <f aca="false">SUM(CR7:CR16)</f>
        <v>0</v>
      </c>
      <c r="CS17" s="419" t="n">
        <f aca="false">SUM(CS7:CS16)</f>
        <v>0</v>
      </c>
      <c r="CT17" s="419" t="n">
        <f aca="false">SUM(CT7:CT16)</f>
        <v>0</v>
      </c>
      <c r="CU17" s="419" t="n">
        <f aca="false">SUM(CU7:CU16)</f>
        <v>0</v>
      </c>
      <c r="CV17" s="419" t="n">
        <f aca="false">SUM(CV7:CV16)</f>
        <v>0</v>
      </c>
      <c r="CW17" s="419" t="n">
        <f aca="false">SUM(CW7:CW16)</f>
        <v>0</v>
      </c>
      <c r="CX17" s="419" t="n">
        <f aca="false">SUM(CX7:CX16)</f>
        <v>0</v>
      </c>
      <c r="CY17" s="419" t="n">
        <f aca="false">SUM(CY7:CY16)</f>
        <v>0</v>
      </c>
      <c r="CZ17" s="419" t="n">
        <f aca="false">SUM(CZ7:CZ16)</f>
        <v>0</v>
      </c>
      <c r="DA17" s="419" t="n">
        <f aca="false">SUM(DA7:DA16)</f>
        <v>0</v>
      </c>
      <c r="DB17" s="419" t="n">
        <f aca="false">SUM(DB7:DB16)</f>
        <v>0</v>
      </c>
      <c r="DC17" s="419" t="n">
        <f aca="false">SUM(DC7:DC16)</f>
        <v>0</v>
      </c>
      <c r="DD17" s="419" t="n">
        <f aca="false">SUM(DD7:DD16)</f>
        <v>0</v>
      </c>
      <c r="DE17" s="419" t="n">
        <f aca="false">SUM(DE7:DE16)</f>
        <v>0</v>
      </c>
    </row>
    <row r="19" customFormat="false" ht="15" hidden="false" customHeight="true" outlineLevel="0" collapsed="false">
      <c r="A19" s="397" t="s">
        <v>1394</v>
      </c>
    </row>
    <row r="20" customFormat="false" ht="15" hidden="false" customHeight="true" outlineLevel="0" collapsed="false">
      <c r="A20" s="1" t="s">
        <v>1395</v>
      </c>
      <c r="B20" s="419" t="n">
        <f aca="false">IF(B$4&gt;='APA Inputs'!$B$6,INDEX('APA Summary'!$B$32:$J$32,B$5-2025)/INDEX('APA Summary'!$B$22:$J$22,B$5-2025),0)</f>
        <v>0</v>
      </c>
      <c r="C20" s="419" t="n">
        <f aca="false">IF(C$4&gt;='APA Inputs'!$B$6,INDEX('APA Summary'!$B$32:$J$32,C$5-2025)/INDEX('APA Summary'!$B$22:$J$22,C$5-2025),0)</f>
        <v>0</v>
      </c>
      <c r="D20" s="419" t="n">
        <f aca="false">IF(D$4&gt;='APA Inputs'!$B$6,INDEX('APA Summary'!$B$32:$J$32,D$5-2025)/INDEX('APA Summary'!$B$22:$J$22,D$5-2025),0)</f>
        <v>0</v>
      </c>
      <c r="E20" s="419" t="n">
        <f aca="false">IF(E$4&gt;='APA Inputs'!$B$6,INDEX('APA Summary'!$B$32:$J$32,E$5-2025)/INDEX('APA Summary'!$B$22:$J$22,E$5-2025),0)</f>
        <v>0</v>
      </c>
      <c r="F20" s="419" t="n">
        <f aca="false">IF(F$4&gt;='APA Inputs'!$B$6,INDEX('APA Summary'!$B$32:$J$32,F$5-2025)/INDEX('APA Summary'!$B$22:$J$22,F$5-2025),0)</f>
        <v>0</v>
      </c>
      <c r="G20" s="419" t="n">
        <f aca="false">IF(G$4&gt;='APA Inputs'!$B$6,INDEX('APA Summary'!$B$32:$J$32,G$5-2025)/INDEX('APA Summary'!$B$22:$J$22,G$5-2025),0)</f>
        <v>0</v>
      </c>
      <c r="H20" s="419" t="n">
        <f aca="false">IF(H$4&gt;='APA Inputs'!$B$6,INDEX('APA Summary'!$B$32:$J$32,H$5-2025)/INDEX('APA Summary'!$B$22:$J$22,H$5-2025),0)</f>
        <v>1108.06288333333</v>
      </c>
      <c r="I20" s="419" t="n">
        <f aca="false">IF(I$4&gt;='APA Inputs'!$B$6,INDEX('APA Summary'!$B$32:$J$32,I$5-2025)/INDEX('APA Summary'!$B$22:$J$22,I$5-2025),0)</f>
        <v>1108.06288333333</v>
      </c>
      <c r="J20" s="419" t="n">
        <f aca="false">IF(J$4&gt;='APA Inputs'!$B$6,INDEX('APA Summary'!$B$32:$J$32,J$5-2025)/INDEX('APA Summary'!$B$22:$J$22,J$5-2025),0)</f>
        <v>1108.06288333333</v>
      </c>
      <c r="K20" s="419" t="n">
        <f aca="false">IF(K$4&gt;='APA Inputs'!$B$6,INDEX('APA Summary'!$B$32:$J$32,K$5-2025)/INDEX('APA Summary'!$B$22:$J$22,K$5-2025),0)</f>
        <v>1108.06288333333</v>
      </c>
      <c r="L20" s="419" t="n">
        <f aca="false">IF(L$4&gt;='APA Inputs'!$B$6,INDEX('APA Summary'!$B$32:$J$32,L$5-2025)/INDEX('APA Summary'!$B$22:$J$22,L$5-2025),0)</f>
        <v>1108.06288333333</v>
      </c>
      <c r="M20" s="419" t="n">
        <f aca="false">IF(M$4&gt;='APA Inputs'!$B$6,INDEX('APA Summary'!$B$32:$J$32,M$5-2025)/INDEX('APA Summary'!$B$22:$J$22,M$5-2025),0)</f>
        <v>1108.06288333333</v>
      </c>
      <c r="N20" s="419" t="n">
        <f aca="false">IF(N$4&gt;='APA Inputs'!$B$6,INDEX('APA Summary'!$B$32:$J$32,N$5-2025)/INDEX('APA Summary'!$B$22:$J$22,N$5-2025),0)</f>
        <v>0</v>
      </c>
      <c r="O20" s="419" t="n">
        <f aca="false">IF(O$4&gt;='APA Inputs'!$B$6,INDEX('APA Summary'!$B$32:$J$32,O$5-2025)/INDEX('APA Summary'!$B$22:$J$22,O$5-2025),0)</f>
        <v>0</v>
      </c>
      <c r="P20" s="419" t="n">
        <f aca="false">IF(P$4&gt;='APA Inputs'!$B$6,INDEX('APA Summary'!$B$32:$J$32,P$5-2025)/INDEX('APA Summary'!$B$22:$J$22,P$5-2025),0)</f>
        <v>0</v>
      </c>
      <c r="Q20" s="419" t="n">
        <f aca="false">IF(Q$4&gt;='APA Inputs'!$B$6,INDEX('APA Summary'!$B$32:$J$32,Q$5-2025)/INDEX('APA Summary'!$B$22:$J$22,Q$5-2025),0)</f>
        <v>0</v>
      </c>
      <c r="R20" s="419" t="n">
        <f aca="false">IF(R$4&gt;='APA Inputs'!$B$6,INDEX('APA Summary'!$B$32:$J$32,R$5-2025)/INDEX('APA Summary'!$B$22:$J$22,R$5-2025),0)</f>
        <v>0</v>
      </c>
      <c r="S20" s="419" t="n">
        <f aca="false">IF(S$4&gt;='APA Inputs'!$B$6,INDEX('APA Summary'!$B$32:$J$32,S$5-2025)/INDEX('APA Summary'!$B$22:$J$22,S$5-2025),0)</f>
        <v>0</v>
      </c>
      <c r="T20" s="419" t="n">
        <f aca="false">IF(T$4&gt;='APA Inputs'!$B$6,INDEX('APA Summary'!$B$32:$J$32,T$5-2025)/INDEX('APA Summary'!$B$22:$J$22,T$5-2025),0)</f>
        <v>0</v>
      </c>
      <c r="U20" s="419" t="n">
        <f aca="false">IF(U$4&gt;='APA Inputs'!$B$6,INDEX('APA Summary'!$B$32:$J$32,U$5-2025)/INDEX('APA Summary'!$B$22:$J$22,U$5-2025),0)</f>
        <v>0</v>
      </c>
      <c r="V20" s="419" t="n">
        <f aca="false">IF(V$4&gt;='APA Inputs'!$B$6,INDEX('APA Summary'!$B$32:$J$32,V$5-2025)/INDEX('APA Summary'!$B$22:$J$22,V$5-2025),0)</f>
        <v>0</v>
      </c>
      <c r="W20" s="419" t="n">
        <f aca="false">IF(W$4&gt;='APA Inputs'!$B$6,INDEX('APA Summary'!$B$32:$J$32,W$5-2025)/INDEX('APA Summary'!$B$22:$J$22,W$5-2025),0)</f>
        <v>0</v>
      </c>
      <c r="X20" s="419" t="n">
        <f aca="false">IF(X$4&gt;='APA Inputs'!$B$6,INDEX('APA Summary'!$B$32:$J$32,X$5-2025)/INDEX('APA Summary'!$B$22:$J$22,X$5-2025),0)</f>
        <v>0</v>
      </c>
      <c r="Y20" s="419" t="n">
        <f aca="false">IF(Y$4&gt;='APA Inputs'!$B$6,INDEX('APA Summary'!$B$32:$J$32,Y$5-2025)/INDEX('APA Summary'!$B$22:$J$22,Y$5-2025),0)</f>
        <v>0</v>
      </c>
      <c r="Z20" s="419" t="n">
        <f aca="false">IF(Z$4&gt;='APA Inputs'!$B$6,INDEX('APA Summary'!$B$32:$J$32,Z$5-2025)/INDEX('APA Summary'!$B$22:$J$22,Z$5-2025),0)</f>
        <v>0</v>
      </c>
      <c r="AA20" s="419" t="n">
        <f aca="false">IF(AA$4&gt;='APA Inputs'!$B$6,INDEX('APA Summary'!$B$32:$J$32,AA$5-2025)/INDEX('APA Summary'!$B$22:$J$22,AA$5-2025),0)</f>
        <v>0</v>
      </c>
      <c r="AB20" s="419" t="n">
        <f aca="false">IF(AB$4&gt;='APA Inputs'!$B$6,INDEX('APA Summary'!$B$32:$J$32,AB$5-2025)/INDEX('APA Summary'!$B$22:$J$22,AB$5-2025),0)</f>
        <v>0</v>
      </c>
      <c r="AC20" s="419" t="n">
        <f aca="false">IF(AC$4&gt;='APA Inputs'!$B$6,INDEX('APA Summary'!$B$32:$J$32,AC$5-2025)/INDEX('APA Summary'!$B$22:$J$22,AC$5-2025),0)</f>
        <v>0</v>
      </c>
      <c r="AD20" s="419" t="n">
        <f aca="false">IF(AD$4&gt;='APA Inputs'!$B$6,INDEX('APA Summary'!$B$32:$J$32,AD$5-2025)/INDEX('APA Summary'!$B$22:$J$22,AD$5-2025),0)</f>
        <v>0</v>
      </c>
      <c r="AE20" s="419" t="n">
        <f aca="false">IF(AE$4&gt;='APA Inputs'!$B$6,INDEX('APA Summary'!$B$32:$J$32,AE$5-2025)/INDEX('APA Summary'!$B$22:$J$22,AE$5-2025),0)</f>
        <v>0</v>
      </c>
      <c r="AF20" s="419" t="n">
        <f aca="false">IF(AF$4&gt;='APA Inputs'!$B$6,INDEX('APA Summary'!$B$32:$J$32,AF$5-2025)/INDEX('APA Summary'!$B$22:$J$22,AF$5-2025),0)</f>
        <v>0</v>
      </c>
      <c r="AG20" s="419" t="n">
        <f aca="false">IF(AG$4&gt;='APA Inputs'!$B$6,INDEX('APA Summary'!$B$32:$J$32,AG$5-2025)/INDEX('APA Summary'!$B$22:$J$22,AG$5-2025),0)</f>
        <v>0</v>
      </c>
      <c r="AH20" s="419" t="n">
        <f aca="false">IF(AH$4&gt;='APA Inputs'!$B$6,INDEX('APA Summary'!$B$32:$J$32,AH$5-2025)/INDEX('APA Summary'!$B$22:$J$22,AH$5-2025),0)</f>
        <v>0</v>
      </c>
      <c r="AI20" s="419" t="n">
        <f aca="false">IF(AI$4&gt;='APA Inputs'!$B$6,INDEX('APA Summary'!$B$32:$J$32,AI$5-2025)/INDEX('APA Summary'!$B$22:$J$22,AI$5-2025),0)</f>
        <v>0</v>
      </c>
      <c r="AJ20" s="419" t="n">
        <f aca="false">IF(AJ$4&gt;='APA Inputs'!$B$6,INDEX('APA Summary'!$B$32:$J$32,AJ$5-2025)/INDEX('APA Summary'!$B$22:$J$22,AJ$5-2025),0)</f>
        <v>0</v>
      </c>
      <c r="AK20" s="419" t="n">
        <f aca="false">IF(AK$4&gt;='APA Inputs'!$B$6,INDEX('APA Summary'!$B$32:$J$32,AK$5-2025)/INDEX('APA Summary'!$B$22:$J$22,AK$5-2025),0)</f>
        <v>0</v>
      </c>
      <c r="AL20" s="419" t="n">
        <f aca="false">IF(AL$4&gt;='APA Inputs'!$B$6,INDEX('APA Summary'!$B$32:$J$32,AL$5-2025)/INDEX('APA Summary'!$B$22:$J$22,AL$5-2025),0)</f>
        <v>0</v>
      </c>
      <c r="AM20" s="419" t="n">
        <f aca="false">IF(AM$4&gt;='APA Inputs'!$B$6,INDEX('APA Summary'!$B$32:$J$32,AM$5-2025)/INDEX('APA Summary'!$B$22:$J$22,AM$5-2025),0)</f>
        <v>0</v>
      </c>
      <c r="AN20" s="419" t="n">
        <f aca="false">IF(AN$4&gt;='APA Inputs'!$B$6,INDEX('APA Summary'!$B$32:$J$32,AN$5-2025)/INDEX('APA Summary'!$B$22:$J$22,AN$5-2025),0)</f>
        <v>0</v>
      </c>
      <c r="AO20" s="419" t="n">
        <f aca="false">IF(AO$4&gt;='APA Inputs'!$B$6,INDEX('APA Summary'!$B$32:$J$32,AO$5-2025)/INDEX('APA Summary'!$B$22:$J$22,AO$5-2025),0)</f>
        <v>0</v>
      </c>
      <c r="AP20" s="419" t="n">
        <f aca="false">IF(AP$4&gt;='APA Inputs'!$B$6,INDEX('APA Summary'!$B$32:$J$32,AP$5-2025)/INDEX('APA Summary'!$B$22:$J$22,AP$5-2025),0)</f>
        <v>0</v>
      </c>
      <c r="AQ20" s="419" t="n">
        <f aca="false">IF(AQ$4&gt;='APA Inputs'!$B$6,INDEX('APA Summary'!$B$32:$J$32,AQ$5-2025)/INDEX('APA Summary'!$B$22:$J$22,AQ$5-2025),0)</f>
        <v>0</v>
      </c>
      <c r="AR20" s="419" t="n">
        <f aca="false">IF(AR$4&gt;='APA Inputs'!$B$6,INDEX('APA Summary'!$B$32:$J$32,AR$5-2025)/INDEX('APA Summary'!$B$22:$J$22,AR$5-2025),0)</f>
        <v>0</v>
      </c>
      <c r="AS20" s="419" t="n">
        <f aca="false">IF(AS$4&gt;='APA Inputs'!$B$6,INDEX('APA Summary'!$B$32:$J$32,AS$5-2025)/INDEX('APA Summary'!$B$22:$J$22,AS$5-2025),0)</f>
        <v>0</v>
      </c>
      <c r="AT20" s="419" t="n">
        <f aca="false">IF(AT$4&gt;='APA Inputs'!$B$6,INDEX('APA Summary'!$B$32:$J$32,AT$5-2025)/INDEX('APA Summary'!$B$22:$J$22,AT$5-2025),0)</f>
        <v>0</v>
      </c>
      <c r="AU20" s="419" t="n">
        <f aca="false">IF(AU$4&gt;='APA Inputs'!$B$6,INDEX('APA Summary'!$B$32:$J$32,AU$5-2025)/INDEX('APA Summary'!$B$22:$J$22,AU$5-2025),0)</f>
        <v>0</v>
      </c>
      <c r="AV20" s="419" t="n">
        <f aca="false">IF(AV$4&gt;='APA Inputs'!$B$6,INDEX('APA Summary'!$B$32:$J$32,AV$5-2025)/INDEX('APA Summary'!$B$22:$J$22,AV$5-2025),0)</f>
        <v>0</v>
      </c>
      <c r="AW20" s="419" t="n">
        <f aca="false">IF(AW$4&gt;='APA Inputs'!$B$6,INDEX('APA Summary'!$B$32:$J$32,AW$5-2025)/INDEX('APA Summary'!$B$22:$J$22,AW$5-2025),0)</f>
        <v>0</v>
      </c>
      <c r="AX20" s="419" t="n">
        <f aca="false">IF(AX$4&gt;='APA Inputs'!$B$6,INDEX('APA Summary'!$B$32:$J$32,AX$5-2025)/INDEX('APA Summary'!$B$22:$J$22,AX$5-2025),0)</f>
        <v>0</v>
      </c>
      <c r="AY20" s="419" t="n">
        <f aca="false">IF(AY$4&gt;='APA Inputs'!$B$6,INDEX('APA Summary'!$B$32:$J$32,AY$5-2025)/INDEX('APA Summary'!$B$22:$J$22,AY$5-2025),0)</f>
        <v>0</v>
      </c>
      <c r="AZ20" s="419" t="n">
        <f aca="false">IF(AZ$4&gt;='APA Inputs'!$B$6,INDEX('APA Summary'!$B$32:$J$32,AZ$5-2025)/INDEX('APA Summary'!$B$22:$J$22,AZ$5-2025),0)</f>
        <v>0</v>
      </c>
      <c r="BA20" s="419" t="n">
        <f aca="false">IF(BA$4&gt;='APA Inputs'!$B$6,INDEX('APA Summary'!$B$32:$J$32,BA$5-2025)/INDEX('APA Summary'!$B$22:$J$22,BA$5-2025),0)</f>
        <v>0</v>
      </c>
      <c r="BB20" s="419" t="n">
        <f aca="false">IF(BB$4&gt;='APA Inputs'!$B$6,INDEX('APA Summary'!$B$32:$J$32,BB$5-2025)/INDEX('APA Summary'!$B$22:$J$22,BB$5-2025),0)</f>
        <v>0</v>
      </c>
      <c r="BC20" s="419" t="n">
        <f aca="false">IF(BC$4&gt;='APA Inputs'!$B$6,INDEX('APA Summary'!$B$32:$J$32,BC$5-2025)/INDEX('APA Summary'!$B$22:$J$22,BC$5-2025),0)</f>
        <v>0</v>
      </c>
      <c r="BD20" s="419" t="n">
        <f aca="false">IF(BD$4&gt;='APA Inputs'!$B$6,INDEX('APA Summary'!$B$32:$J$32,BD$5-2025)/INDEX('APA Summary'!$B$22:$J$22,BD$5-2025),0)</f>
        <v>0</v>
      </c>
      <c r="BE20" s="419" t="n">
        <f aca="false">IF(BE$4&gt;='APA Inputs'!$B$6,INDEX('APA Summary'!$B$32:$J$32,BE$5-2025)/INDEX('APA Summary'!$B$22:$J$22,BE$5-2025),0)</f>
        <v>0</v>
      </c>
      <c r="BF20" s="419" t="n">
        <f aca="false">IF(BF$4&gt;='APA Inputs'!$B$6,INDEX('APA Summary'!$B$32:$J$32,BF$5-2025)/INDEX('APA Summary'!$B$22:$J$22,BF$5-2025),0)</f>
        <v>0</v>
      </c>
      <c r="BG20" s="419" t="n">
        <f aca="false">IF(BG$4&gt;='APA Inputs'!$B$6,INDEX('APA Summary'!$B$32:$J$32,BG$5-2025)/INDEX('APA Summary'!$B$22:$J$22,BG$5-2025),0)</f>
        <v>0</v>
      </c>
      <c r="BH20" s="419" t="n">
        <f aca="false">IF(BH$4&gt;='APA Inputs'!$B$6,INDEX('APA Summary'!$B$32:$J$32,BH$5-2025)/INDEX('APA Summary'!$B$22:$J$22,BH$5-2025),0)</f>
        <v>0</v>
      </c>
      <c r="BI20" s="419" t="n">
        <f aca="false">IF(BI$4&gt;='APA Inputs'!$B$6,INDEX('APA Summary'!$B$32:$J$32,BI$5-2025)/INDEX('APA Summary'!$B$22:$J$22,BI$5-2025),0)</f>
        <v>0</v>
      </c>
      <c r="BJ20" s="419" t="n">
        <f aca="false">IF(BJ$4&gt;='APA Inputs'!$B$6,INDEX('APA Summary'!$B$32:$J$32,BJ$5-2025)/INDEX('APA Summary'!$B$22:$J$22,BJ$5-2025),0)</f>
        <v>0</v>
      </c>
      <c r="BK20" s="419" t="n">
        <f aca="false">IF(BK$4&gt;='APA Inputs'!$B$6,INDEX('APA Summary'!$B$32:$J$32,BK$5-2025)/INDEX('APA Summary'!$B$22:$J$22,BK$5-2025),0)</f>
        <v>0</v>
      </c>
      <c r="BL20" s="419" t="n">
        <f aca="false">IF(BL$4&gt;='APA Inputs'!$B$6,INDEX('APA Summary'!$B$32:$J$32,BL$5-2025)/INDEX('APA Summary'!$B$22:$J$22,BL$5-2025),0)</f>
        <v>0</v>
      </c>
      <c r="BM20" s="419" t="n">
        <f aca="false">IF(BM$4&gt;='APA Inputs'!$B$6,INDEX('APA Summary'!$B$32:$J$32,BM$5-2025)/INDEX('APA Summary'!$B$22:$J$22,BM$5-2025),0)</f>
        <v>0</v>
      </c>
      <c r="BN20" s="419" t="n">
        <f aca="false">IF(BN$4&gt;='APA Inputs'!$B$6,INDEX('APA Summary'!$B$32:$J$32,BN$5-2025)/INDEX('APA Summary'!$B$22:$J$22,BN$5-2025),0)</f>
        <v>0</v>
      </c>
      <c r="BO20" s="419" t="n">
        <f aca="false">IF(BO$4&gt;='APA Inputs'!$B$6,INDEX('APA Summary'!$B$32:$J$32,BO$5-2025)/INDEX('APA Summary'!$B$22:$J$22,BO$5-2025),0)</f>
        <v>0</v>
      </c>
      <c r="BP20" s="419" t="n">
        <f aca="false">IF(BP$4&gt;='APA Inputs'!$B$6,INDEX('APA Summary'!$B$32:$J$32,BP$5-2025)/INDEX('APA Summary'!$B$22:$J$22,BP$5-2025),0)</f>
        <v>0</v>
      </c>
      <c r="BQ20" s="419" t="n">
        <f aca="false">IF(BQ$4&gt;='APA Inputs'!$B$6,INDEX('APA Summary'!$B$32:$J$32,BQ$5-2025)/INDEX('APA Summary'!$B$22:$J$22,BQ$5-2025),0)</f>
        <v>0</v>
      </c>
      <c r="BR20" s="419" t="n">
        <f aca="false">IF(BR$4&gt;='APA Inputs'!$B$6,INDEX('APA Summary'!$B$32:$J$32,BR$5-2025)/INDEX('APA Summary'!$B$22:$J$22,BR$5-2025),0)</f>
        <v>0</v>
      </c>
      <c r="BS20" s="419" t="n">
        <f aca="false">IF(BS$4&gt;='APA Inputs'!$B$6,INDEX('APA Summary'!$B$32:$J$32,BS$5-2025)/INDEX('APA Summary'!$B$22:$J$22,BS$5-2025),0)</f>
        <v>0</v>
      </c>
      <c r="BT20" s="419" t="n">
        <f aca="false">IF(BT$4&gt;='APA Inputs'!$B$6,INDEX('APA Summary'!$B$32:$J$32,BT$5-2025)/INDEX('APA Summary'!$B$22:$J$22,BT$5-2025),0)</f>
        <v>0</v>
      </c>
      <c r="BU20" s="419" t="n">
        <f aca="false">IF(BU$4&gt;='APA Inputs'!$B$6,INDEX('APA Summary'!$B$32:$J$32,BU$5-2025)/INDEX('APA Summary'!$B$22:$J$22,BU$5-2025),0)</f>
        <v>0</v>
      </c>
      <c r="BV20" s="419" t="n">
        <f aca="false">IF(BV$4&gt;='APA Inputs'!$B$6,INDEX('APA Summary'!$B$32:$J$32,BV$5-2025)/INDEX('APA Summary'!$B$22:$J$22,BV$5-2025),0)</f>
        <v>0</v>
      </c>
      <c r="BW20" s="419" t="n">
        <f aca="false">IF(BW$4&gt;='APA Inputs'!$B$6,INDEX('APA Summary'!$B$32:$J$32,BW$5-2025)/INDEX('APA Summary'!$B$22:$J$22,BW$5-2025),0)</f>
        <v>0</v>
      </c>
      <c r="BX20" s="419" t="n">
        <f aca="false">IF(BX$4&gt;='APA Inputs'!$B$6,INDEX('APA Summary'!$B$32:$J$32,BX$5-2025)/INDEX('APA Summary'!$B$22:$J$22,BX$5-2025),0)</f>
        <v>0</v>
      </c>
      <c r="BY20" s="419" t="n">
        <f aca="false">IF(BY$4&gt;='APA Inputs'!$B$6,INDEX('APA Summary'!$B$32:$J$32,BY$5-2025)/INDEX('APA Summary'!$B$22:$J$22,BY$5-2025),0)</f>
        <v>0</v>
      </c>
      <c r="BZ20" s="419" t="n">
        <f aca="false">IF(BZ$4&gt;='APA Inputs'!$B$6,INDEX('APA Summary'!$B$32:$J$32,BZ$5-2025)/INDEX('APA Summary'!$B$22:$J$22,BZ$5-2025),0)</f>
        <v>0</v>
      </c>
      <c r="CA20" s="419" t="n">
        <f aca="false">IF(CA$4&gt;='APA Inputs'!$B$6,INDEX('APA Summary'!$B$32:$J$32,CA$5-2025)/INDEX('APA Summary'!$B$22:$J$22,CA$5-2025),0)</f>
        <v>0</v>
      </c>
      <c r="CB20" s="419" t="n">
        <f aca="false">IF(CB$4&gt;='APA Inputs'!$B$6,INDEX('APA Summary'!$B$32:$J$32,CB$5-2025)/INDEX('APA Summary'!$B$22:$J$22,CB$5-2025),0)</f>
        <v>0</v>
      </c>
      <c r="CC20" s="419" t="n">
        <f aca="false">IF(CC$4&gt;='APA Inputs'!$B$6,INDEX('APA Summary'!$B$32:$J$32,CC$5-2025)/INDEX('APA Summary'!$B$22:$J$22,CC$5-2025),0)</f>
        <v>0</v>
      </c>
      <c r="CD20" s="419" t="n">
        <f aca="false">IF(CD$4&gt;='APA Inputs'!$B$6,INDEX('APA Summary'!$B$32:$J$32,CD$5-2025)/INDEX('APA Summary'!$B$22:$J$22,CD$5-2025),0)</f>
        <v>0</v>
      </c>
      <c r="CE20" s="419" t="n">
        <f aca="false">IF(CE$4&gt;='APA Inputs'!$B$6,INDEX('APA Summary'!$B$32:$J$32,CE$5-2025)/INDEX('APA Summary'!$B$22:$J$22,CE$5-2025),0)</f>
        <v>0</v>
      </c>
      <c r="CF20" s="419" t="n">
        <f aca="false">IF(CF$4&gt;='APA Inputs'!$B$6,INDEX('APA Summary'!$B$32:$J$32,CF$5-2025)/INDEX('APA Summary'!$B$22:$J$22,CF$5-2025),0)</f>
        <v>0</v>
      </c>
      <c r="CG20" s="419" t="n">
        <f aca="false">IF(CG$4&gt;='APA Inputs'!$B$6,INDEX('APA Summary'!$B$32:$J$32,CG$5-2025)/INDEX('APA Summary'!$B$22:$J$22,CG$5-2025),0)</f>
        <v>0</v>
      </c>
      <c r="CH20" s="419" t="n">
        <f aca="false">IF(CH$4&gt;='APA Inputs'!$B$6,INDEX('APA Summary'!$B$32:$J$32,CH$5-2025)/INDEX('APA Summary'!$B$22:$J$22,CH$5-2025),0)</f>
        <v>0</v>
      </c>
      <c r="CI20" s="419" t="n">
        <f aca="false">IF(CI$4&gt;='APA Inputs'!$B$6,INDEX('APA Summary'!$B$32:$J$32,CI$5-2025)/INDEX('APA Summary'!$B$22:$J$22,CI$5-2025),0)</f>
        <v>0</v>
      </c>
      <c r="CJ20" s="419" t="n">
        <f aca="false">IF(CJ$4&gt;='APA Inputs'!$B$6,INDEX('APA Summary'!$B$32:$J$32,CJ$5-2025)/INDEX('APA Summary'!$B$22:$J$22,CJ$5-2025),0)</f>
        <v>0</v>
      </c>
      <c r="CK20" s="419" t="n">
        <f aca="false">IF(CK$4&gt;='APA Inputs'!$B$6,INDEX('APA Summary'!$B$32:$J$32,CK$5-2025)/INDEX('APA Summary'!$B$22:$J$22,CK$5-2025),0)</f>
        <v>0</v>
      </c>
      <c r="CL20" s="419" t="n">
        <f aca="false">IF(CL$4&gt;='APA Inputs'!$B$6,INDEX('APA Summary'!$B$32:$J$32,CL$5-2025)/INDEX('APA Summary'!$B$22:$J$22,CL$5-2025),0)</f>
        <v>0</v>
      </c>
      <c r="CM20" s="419" t="n">
        <f aca="false">IF(CM$4&gt;='APA Inputs'!$B$6,INDEX('APA Summary'!$B$32:$J$32,CM$5-2025)/INDEX('APA Summary'!$B$22:$J$22,CM$5-2025),0)</f>
        <v>0</v>
      </c>
      <c r="CN20" s="419" t="n">
        <f aca="false">IF(CN$4&gt;='APA Inputs'!$B$6,INDEX('APA Summary'!$B$32:$J$32,CN$5-2025)/INDEX('APA Summary'!$B$22:$J$22,CN$5-2025),0)</f>
        <v>0</v>
      </c>
      <c r="CO20" s="419" t="n">
        <f aca="false">IF(CO$4&gt;='APA Inputs'!$B$6,INDEX('APA Summary'!$B$32:$J$32,CO$5-2025)/INDEX('APA Summary'!$B$22:$J$22,CO$5-2025),0)</f>
        <v>0</v>
      </c>
      <c r="CP20" s="419" t="n">
        <f aca="false">IF(CP$4&gt;='APA Inputs'!$B$6,INDEX('APA Summary'!$B$32:$J$32,CP$5-2025)/INDEX('APA Summary'!$B$22:$J$22,CP$5-2025),0)</f>
        <v>0</v>
      </c>
      <c r="CQ20" s="419" t="n">
        <f aca="false">IF(CQ$4&gt;='APA Inputs'!$B$6,INDEX('APA Summary'!$B$32:$J$32,CQ$5-2025)/INDEX('APA Summary'!$B$22:$J$22,CQ$5-2025),0)</f>
        <v>0</v>
      </c>
      <c r="CR20" s="419" t="n">
        <f aca="false">IF(CR$4&gt;='APA Inputs'!$B$6,INDEX('APA Summary'!$B$32:$J$32,CR$5-2025)/INDEX('APA Summary'!$B$22:$J$22,CR$5-2025),0)</f>
        <v>0</v>
      </c>
      <c r="CS20" s="419" t="n">
        <f aca="false">IF(CS$4&gt;='APA Inputs'!$B$6,INDEX('APA Summary'!$B$32:$J$32,CS$5-2025)/INDEX('APA Summary'!$B$22:$J$22,CS$5-2025),0)</f>
        <v>0</v>
      </c>
      <c r="CT20" s="419" t="n">
        <f aca="false">IF(CT$4&gt;='APA Inputs'!$B$6,INDEX('APA Summary'!$B$32:$J$32,CT$5-2025)/INDEX('APA Summary'!$B$22:$J$22,CT$5-2025),0)</f>
        <v>0</v>
      </c>
      <c r="CU20" s="419" t="n">
        <f aca="false">IF(CU$4&gt;='APA Inputs'!$B$6,INDEX('APA Summary'!$B$32:$J$32,CU$5-2025)/INDEX('APA Summary'!$B$22:$J$22,CU$5-2025),0)</f>
        <v>0</v>
      </c>
      <c r="CV20" s="419" t="n">
        <f aca="false">IF(CV$4&gt;='APA Inputs'!$B$6,INDEX('APA Summary'!$B$32:$J$32,CV$5-2025)/INDEX('APA Summary'!$B$22:$J$22,CV$5-2025),0)</f>
        <v>0</v>
      </c>
      <c r="CW20" s="419" t="n">
        <f aca="false">IF(CW$4&gt;='APA Inputs'!$B$6,INDEX('APA Summary'!$B$32:$J$32,CW$5-2025)/INDEX('APA Summary'!$B$22:$J$22,CW$5-2025),0)</f>
        <v>0</v>
      </c>
      <c r="CX20" s="419" t="n">
        <f aca="false">IF(CX$4&gt;='APA Inputs'!$B$6,INDEX('APA Summary'!$B$32:$J$32,CX$5-2025)/INDEX('APA Summary'!$B$22:$J$22,CX$5-2025),0)</f>
        <v>0</v>
      </c>
      <c r="CY20" s="419" t="n">
        <f aca="false">IF(CY$4&gt;='APA Inputs'!$B$6,INDEX('APA Summary'!$B$32:$J$32,CY$5-2025)/INDEX('APA Summary'!$B$22:$J$22,CY$5-2025),0)</f>
        <v>0</v>
      </c>
      <c r="CZ20" s="419" t="n">
        <f aca="false">IF(CZ$4&gt;='APA Inputs'!$B$6,INDEX('APA Summary'!$B$32:$J$32,CZ$5-2025)/INDEX('APA Summary'!$B$22:$J$22,CZ$5-2025),0)</f>
        <v>0</v>
      </c>
      <c r="DA20" s="419" t="n">
        <f aca="false">IF(DA$4&gt;='APA Inputs'!$B$6,INDEX('APA Summary'!$B$32:$J$32,DA$5-2025)/INDEX('APA Summary'!$B$22:$J$22,DA$5-2025),0)</f>
        <v>0</v>
      </c>
      <c r="DB20" s="419" t="n">
        <f aca="false">IF(DB$4&gt;='APA Inputs'!$B$6,INDEX('APA Summary'!$B$32:$J$32,DB$5-2025)/INDEX('APA Summary'!$B$22:$J$22,DB$5-2025),0)</f>
        <v>0</v>
      </c>
      <c r="DC20" s="419" t="n">
        <f aca="false">IF(DC$4&gt;='APA Inputs'!$B$6,INDEX('APA Summary'!$B$32:$J$32,DC$5-2025)/INDEX('APA Summary'!$B$22:$J$22,DC$5-2025),0)</f>
        <v>0</v>
      </c>
      <c r="DD20" s="419" t="n">
        <f aca="false">IF(DD$4&gt;='APA Inputs'!$B$6,INDEX('APA Summary'!$B$32:$J$32,DD$5-2025)/INDEX('APA Summary'!$B$22:$J$22,DD$5-2025),0)</f>
        <v>0</v>
      </c>
      <c r="DE20" s="419" t="n">
        <f aca="false">IF(DE$4&gt;='APA Inputs'!$B$6,INDEX('APA Summary'!$B$32:$J$32,DE$5-2025)/INDEX('APA Summary'!$B$22:$J$22,DE$5-2025),0)</f>
        <v>0</v>
      </c>
    </row>
    <row r="21" customFormat="false" ht="15" hidden="false" customHeight="true" outlineLevel="0" collapsed="false">
      <c r="A21" s="1" t="s">
        <v>1396</v>
      </c>
      <c r="B21" s="419" t="n">
        <f aca="false">IF(AND(MONTH(B$4)='APA Inputs'!$B$18,B$5-1&gt;=YEAR('APA Inputs'!$B$6)),INDEX('APA Summary'!$B$47:$J$47,B$5-1-2025),0)</f>
        <v>0</v>
      </c>
      <c r="C21" s="419" t="n">
        <f aca="false">IF(AND(MONTH(C$4)='APA Inputs'!$B$18,C$5-1&gt;=YEAR('APA Inputs'!$B$6)),INDEX('APA Summary'!$B$47:$J$47,C$5-1-2025),0)</f>
        <v>0</v>
      </c>
      <c r="D21" s="419" t="n">
        <f aca="false">IF(AND(MONTH(D$4)='APA Inputs'!$B$18,D$5-1&gt;=YEAR('APA Inputs'!$B$6)),INDEX('APA Summary'!$B$47:$J$47,D$5-1-2025),0)</f>
        <v>0</v>
      </c>
      <c r="E21" s="419" t="n">
        <f aca="false">IF(AND(MONTH(E$4)='APA Inputs'!$B$18,E$5-1&gt;=YEAR('APA Inputs'!$B$6)),INDEX('APA Summary'!$B$47:$J$47,E$5-1-2025),0)</f>
        <v>0</v>
      </c>
      <c r="F21" s="419" t="n">
        <f aca="false">IF(AND(MONTH(F$4)='APA Inputs'!$B$18,F$5-1&gt;=YEAR('APA Inputs'!$B$6)),INDEX('APA Summary'!$B$47:$J$47,F$5-1-2025),0)</f>
        <v>0</v>
      </c>
      <c r="G21" s="419" t="n">
        <f aca="false">IF(AND(MONTH(G$4)='APA Inputs'!$B$18,G$5-1&gt;=YEAR('APA Inputs'!$B$6)),INDEX('APA Summary'!$B$47:$J$47,G$5-1-2025),0)</f>
        <v>0</v>
      </c>
      <c r="H21" s="419" t="n">
        <f aca="false">IF(AND(MONTH(H$4)='APA Inputs'!$B$18,H$5-1&gt;=YEAR('APA Inputs'!$B$6)),INDEX('APA Summary'!$B$47:$J$47,H$5-1-2025),0)</f>
        <v>0</v>
      </c>
      <c r="I21" s="419" t="n">
        <f aca="false">IF(AND(MONTH(I$4)='APA Inputs'!$B$18,I$5-1&gt;=YEAR('APA Inputs'!$B$6)),INDEX('APA Summary'!$B$47:$J$47,I$5-1-2025),0)</f>
        <v>0</v>
      </c>
      <c r="J21" s="419" t="n">
        <f aca="false">IF(AND(MONTH(J$4)='APA Inputs'!$B$18,J$5-1&gt;=YEAR('APA Inputs'!$B$6)),INDEX('APA Summary'!$B$47:$J$47,J$5-1-2025),0)</f>
        <v>0</v>
      </c>
      <c r="K21" s="419" t="n">
        <f aca="false">IF(AND(MONTH(K$4)='APA Inputs'!$B$18,K$5-1&gt;=YEAR('APA Inputs'!$B$6)),INDEX('APA Summary'!$B$47:$J$47,K$5-1-2025),0)</f>
        <v>0</v>
      </c>
      <c r="L21" s="419" t="n">
        <f aca="false">IF(AND(MONTH(L$4)='APA Inputs'!$B$18,L$5-1&gt;=YEAR('APA Inputs'!$B$6)),INDEX('APA Summary'!$B$47:$J$47,L$5-1-2025),0)</f>
        <v>0</v>
      </c>
      <c r="M21" s="419" t="n">
        <f aca="false">IF(AND(MONTH(M$4)='APA Inputs'!$B$18,M$5-1&gt;=YEAR('APA Inputs'!$B$6)),INDEX('APA Summary'!$B$47:$J$47,M$5-1-2025),0)</f>
        <v>0</v>
      </c>
      <c r="N21" s="419" t="n">
        <f aca="false">IF(AND(MONTH(N$4)='APA Inputs'!$B$18,N$5-1&gt;=YEAR('APA Inputs'!$B$6)),INDEX('APA Summary'!$B$47:$J$47,N$5-1-2025),0)</f>
        <v>0</v>
      </c>
      <c r="O21" s="419" t="n">
        <f aca="false">IF(AND(MONTH(O$4)='APA Inputs'!$B$18,O$5-1&gt;=YEAR('APA Inputs'!$B$6)),INDEX('APA Summary'!$B$47:$J$47,O$5-1-2025),0)</f>
        <v>0</v>
      </c>
      <c r="P21" s="419" t="n">
        <f aca="false">IF(AND(MONTH(P$4)='APA Inputs'!$B$18,P$5-1&gt;=YEAR('APA Inputs'!$B$6)),INDEX('APA Summary'!$B$47:$J$47,P$5-1-2025),0)</f>
        <v>915.383032999997</v>
      </c>
      <c r="Q21" s="419" t="n">
        <f aca="false">IF(AND(MONTH(Q$4)='APA Inputs'!$B$18,Q$5-1&gt;=YEAR('APA Inputs'!$B$6)),INDEX('APA Summary'!$B$47:$J$47,Q$5-1-2025),0)</f>
        <v>0</v>
      </c>
      <c r="R21" s="419" t="n">
        <f aca="false">IF(AND(MONTH(R$4)='APA Inputs'!$B$18,R$5-1&gt;=YEAR('APA Inputs'!$B$6)),INDEX('APA Summary'!$B$47:$J$47,R$5-1-2025),0)</f>
        <v>0</v>
      </c>
      <c r="S21" s="419" t="n">
        <f aca="false">IF(AND(MONTH(S$4)='APA Inputs'!$B$18,S$5-1&gt;=YEAR('APA Inputs'!$B$6)),INDEX('APA Summary'!$B$47:$J$47,S$5-1-2025),0)</f>
        <v>0</v>
      </c>
      <c r="T21" s="419" t="n">
        <f aca="false">IF(AND(MONTH(T$4)='APA Inputs'!$B$18,T$5-1&gt;=YEAR('APA Inputs'!$B$6)),INDEX('APA Summary'!$B$47:$J$47,T$5-1-2025),0)</f>
        <v>0</v>
      </c>
      <c r="U21" s="419" t="n">
        <f aca="false">IF(AND(MONTH(U$4)='APA Inputs'!$B$18,U$5-1&gt;=YEAR('APA Inputs'!$B$6)),INDEX('APA Summary'!$B$47:$J$47,U$5-1-2025),0)</f>
        <v>0</v>
      </c>
      <c r="V21" s="419" t="n">
        <f aca="false">IF(AND(MONTH(V$4)='APA Inputs'!$B$18,V$5-1&gt;=YEAR('APA Inputs'!$B$6)),INDEX('APA Summary'!$B$47:$J$47,V$5-1-2025),0)</f>
        <v>0</v>
      </c>
      <c r="W21" s="419" t="n">
        <f aca="false">IF(AND(MONTH(W$4)='APA Inputs'!$B$18,W$5-1&gt;=YEAR('APA Inputs'!$B$6)),INDEX('APA Summary'!$B$47:$J$47,W$5-1-2025),0)</f>
        <v>0</v>
      </c>
      <c r="X21" s="419" t="n">
        <f aca="false">IF(AND(MONTH(X$4)='APA Inputs'!$B$18,X$5-1&gt;=YEAR('APA Inputs'!$B$6)),INDEX('APA Summary'!$B$47:$J$47,X$5-1-2025),0)</f>
        <v>0</v>
      </c>
      <c r="Y21" s="419" t="n">
        <f aca="false">IF(AND(MONTH(Y$4)='APA Inputs'!$B$18,Y$5-1&gt;=YEAR('APA Inputs'!$B$6)),INDEX('APA Summary'!$B$47:$J$47,Y$5-1-2025),0)</f>
        <v>0</v>
      </c>
      <c r="Z21" s="419" t="n">
        <f aca="false">IF(AND(MONTH(Z$4)='APA Inputs'!$B$18,Z$5-1&gt;=YEAR('APA Inputs'!$B$6)),INDEX('APA Summary'!$B$47:$J$47,Z$5-1-2025),0)</f>
        <v>0</v>
      </c>
      <c r="AA21" s="419" t="n">
        <f aca="false">IF(AND(MONTH(AA$4)='APA Inputs'!$B$18,AA$5-1&gt;=YEAR('APA Inputs'!$B$6)),INDEX('APA Summary'!$B$47:$J$47,AA$5-1-2025),0)</f>
        <v>0</v>
      </c>
      <c r="AB21" s="419" t="n">
        <f aca="false">IF(AND(MONTH(AB$4)='APA Inputs'!$B$18,AB$5-1&gt;=YEAR('APA Inputs'!$B$6)),INDEX('APA Summary'!$B$47:$J$47,AB$5-1-2025),0)</f>
        <v>0</v>
      </c>
      <c r="AC21" s="419" t="n">
        <f aca="false">IF(AND(MONTH(AC$4)='APA Inputs'!$B$18,AC$5-1&gt;=YEAR('APA Inputs'!$B$6)),INDEX('APA Summary'!$B$47:$J$47,AC$5-1-2025),0)</f>
        <v>0</v>
      </c>
      <c r="AD21" s="419" t="n">
        <f aca="false">IF(AND(MONTH(AD$4)='APA Inputs'!$B$18,AD$5-1&gt;=YEAR('APA Inputs'!$B$6)),INDEX('APA Summary'!$B$47:$J$47,AD$5-1-2025),0)</f>
        <v>0</v>
      </c>
      <c r="AE21" s="419" t="n">
        <f aca="false">IF(AND(MONTH(AE$4)='APA Inputs'!$B$18,AE$5-1&gt;=YEAR('APA Inputs'!$B$6)),INDEX('APA Summary'!$B$47:$J$47,AE$5-1-2025),0)</f>
        <v>0</v>
      </c>
      <c r="AF21" s="419" t="n">
        <f aca="false">IF(AND(MONTH(AF$4)='APA Inputs'!$B$18,AF$5-1&gt;=YEAR('APA Inputs'!$B$6)),INDEX('APA Summary'!$B$47:$J$47,AF$5-1-2025),0)</f>
        <v>0</v>
      </c>
      <c r="AG21" s="419" t="n">
        <f aca="false">IF(AND(MONTH(AG$4)='APA Inputs'!$B$18,AG$5-1&gt;=YEAR('APA Inputs'!$B$6)),INDEX('APA Summary'!$B$47:$J$47,AG$5-1-2025),0)</f>
        <v>0</v>
      </c>
      <c r="AH21" s="419" t="n">
        <f aca="false">IF(AND(MONTH(AH$4)='APA Inputs'!$B$18,AH$5-1&gt;=YEAR('APA Inputs'!$B$6)),INDEX('APA Summary'!$B$47:$J$47,AH$5-1-2025),0)</f>
        <v>0</v>
      </c>
      <c r="AI21" s="419" t="n">
        <f aca="false">IF(AND(MONTH(AI$4)='APA Inputs'!$B$18,AI$5-1&gt;=YEAR('APA Inputs'!$B$6)),INDEX('APA Summary'!$B$47:$J$47,AI$5-1-2025),0)</f>
        <v>0</v>
      </c>
      <c r="AJ21" s="419" t="n">
        <f aca="false">IF(AND(MONTH(AJ$4)='APA Inputs'!$B$18,AJ$5-1&gt;=YEAR('APA Inputs'!$B$6)),INDEX('APA Summary'!$B$47:$J$47,AJ$5-1-2025),0)</f>
        <v>0</v>
      </c>
      <c r="AK21" s="419" t="n">
        <f aca="false">IF(AND(MONTH(AK$4)='APA Inputs'!$B$18,AK$5-1&gt;=YEAR('APA Inputs'!$B$6)),INDEX('APA Summary'!$B$47:$J$47,AK$5-1-2025),0)</f>
        <v>0</v>
      </c>
      <c r="AL21" s="419" t="n">
        <f aca="false">IF(AND(MONTH(AL$4)='APA Inputs'!$B$18,AL$5-1&gt;=YEAR('APA Inputs'!$B$6)),INDEX('APA Summary'!$B$47:$J$47,AL$5-1-2025),0)</f>
        <v>0</v>
      </c>
      <c r="AM21" s="419" t="n">
        <f aca="false">IF(AND(MONTH(AM$4)='APA Inputs'!$B$18,AM$5-1&gt;=YEAR('APA Inputs'!$B$6)),INDEX('APA Summary'!$B$47:$J$47,AM$5-1-2025),0)</f>
        <v>0</v>
      </c>
      <c r="AN21" s="419" t="n">
        <f aca="false">IF(AND(MONTH(AN$4)='APA Inputs'!$B$18,AN$5-1&gt;=YEAR('APA Inputs'!$B$6)),INDEX('APA Summary'!$B$47:$J$47,AN$5-1-2025),0)</f>
        <v>0</v>
      </c>
      <c r="AO21" s="419" t="n">
        <f aca="false">IF(AND(MONTH(AO$4)='APA Inputs'!$B$18,AO$5-1&gt;=YEAR('APA Inputs'!$B$6)),INDEX('APA Summary'!$B$47:$J$47,AO$5-1-2025),0)</f>
        <v>0</v>
      </c>
      <c r="AP21" s="419" t="n">
        <f aca="false">IF(AND(MONTH(AP$4)='APA Inputs'!$B$18,AP$5-1&gt;=YEAR('APA Inputs'!$B$6)),INDEX('APA Summary'!$B$47:$J$47,AP$5-1-2025),0)</f>
        <v>0</v>
      </c>
      <c r="AQ21" s="419" t="n">
        <f aca="false">IF(AND(MONTH(AQ$4)='APA Inputs'!$B$18,AQ$5-1&gt;=YEAR('APA Inputs'!$B$6)),INDEX('APA Summary'!$B$47:$J$47,AQ$5-1-2025),0)</f>
        <v>0</v>
      </c>
      <c r="AR21" s="419" t="n">
        <f aca="false">IF(AND(MONTH(AR$4)='APA Inputs'!$B$18,AR$5-1&gt;=YEAR('APA Inputs'!$B$6)),INDEX('APA Summary'!$B$47:$J$47,AR$5-1-2025),0)</f>
        <v>0</v>
      </c>
      <c r="AS21" s="419" t="n">
        <f aca="false">IF(AND(MONTH(AS$4)='APA Inputs'!$B$18,AS$5-1&gt;=YEAR('APA Inputs'!$B$6)),INDEX('APA Summary'!$B$47:$J$47,AS$5-1-2025),0)</f>
        <v>0</v>
      </c>
      <c r="AT21" s="419" t="n">
        <f aca="false">IF(AND(MONTH(AT$4)='APA Inputs'!$B$18,AT$5-1&gt;=YEAR('APA Inputs'!$B$6)),INDEX('APA Summary'!$B$47:$J$47,AT$5-1-2025),0)</f>
        <v>0</v>
      </c>
      <c r="AU21" s="419" t="n">
        <f aca="false">IF(AND(MONTH(AU$4)='APA Inputs'!$B$18,AU$5-1&gt;=YEAR('APA Inputs'!$B$6)),INDEX('APA Summary'!$B$47:$J$47,AU$5-1-2025),0)</f>
        <v>0</v>
      </c>
      <c r="AV21" s="419" t="n">
        <f aca="false">IF(AND(MONTH(AV$4)='APA Inputs'!$B$18,AV$5-1&gt;=YEAR('APA Inputs'!$B$6)),INDEX('APA Summary'!$B$47:$J$47,AV$5-1-2025),0)</f>
        <v>0</v>
      </c>
      <c r="AW21" s="419" t="n">
        <f aca="false">IF(AND(MONTH(AW$4)='APA Inputs'!$B$18,AW$5-1&gt;=YEAR('APA Inputs'!$B$6)),INDEX('APA Summary'!$B$47:$J$47,AW$5-1-2025),0)</f>
        <v>0</v>
      </c>
      <c r="AX21" s="419" t="n">
        <f aca="false">IF(AND(MONTH(AX$4)='APA Inputs'!$B$18,AX$5-1&gt;=YEAR('APA Inputs'!$B$6)),INDEX('APA Summary'!$B$47:$J$47,AX$5-1-2025),0)</f>
        <v>0</v>
      </c>
      <c r="AY21" s="419" t="n">
        <f aca="false">IF(AND(MONTH(AY$4)='APA Inputs'!$B$18,AY$5-1&gt;=YEAR('APA Inputs'!$B$6)),INDEX('APA Summary'!$B$47:$J$47,AY$5-1-2025),0)</f>
        <v>0</v>
      </c>
      <c r="AZ21" s="419" t="n">
        <f aca="false">IF(AND(MONTH(AZ$4)='APA Inputs'!$B$18,AZ$5-1&gt;=YEAR('APA Inputs'!$B$6)),INDEX('APA Summary'!$B$47:$J$47,AZ$5-1-2025),0)</f>
        <v>0</v>
      </c>
      <c r="BA21" s="419" t="n">
        <f aca="false">IF(AND(MONTH(BA$4)='APA Inputs'!$B$18,BA$5-1&gt;=YEAR('APA Inputs'!$B$6)),INDEX('APA Summary'!$B$47:$J$47,BA$5-1-2025),0)</f>
        <v>0</v>
      </c>
      <c r="BB21" s="419" t="n">
        <f aca="false">IF(AND(MONTH(BB$4)='APA Inputs'!$B$18,BB$5-1&gt;=YEAR('APA Inputs'!$B$6)),INDEX('APA Summary'!$B$47:$J$47,BB$5-1-2025),0)</f>
        <v>0</v>
      </c>
      <c r="BC21" s="419" t="n">
        <f aca="false">IF(AND(MONTH(BC$4)='APA Inputs'!$B$18,BC$5-1&gt;=YEAR('APA Inputs'!$B$6)),INDEX('APA Summary'!$B$47:$J$47,BC$5-1-2025),0)</f>
        <v>0</v>
      </c>
      <c r="BD21" s="419" t="n">
        <f aca="false">IF(AND(MONTH(BD$4)='APA Inputs'!$B$18,BD$5-1&gt;=YEAR('APA Inputs'!$B$6)),INDEX('APA Summary'!$B$47:$J$47,BD$5-1-2025),0)</f>
        <v>0</v>
      </c>
      <c r="BE21" s="419" t="n">
        <f aca="false">IF(AND(MONTH(BE$4)='APA Inputs'!$B$18,BE$5-1&gt;=YEAR('APA Inputs'!$B$6)),INDEX('APA Summary'!$B$47:$J$47,BE$5-1-2025),0)</f>
        <v>0</v>
      </c>
      <c r="BF21" s="419" t="n">
        <f aca="false">IF(AND(MONTH(BF$4)='APA Inputs'!$B$18,BF$5-1&gt;=YEAR('APA Inputs'!$B$6)),INDEX('APA Summary'!$B$47:$J$47,BF$5-1-2025),0)</f>
        <v>0</v>
      </c>
      <c r="BG21" s="419" t="n">
        <f aca="false">IF(AND(MONTH(BG$4)='APA Inputs'!$B$18,BG$5-1&gt;=YEAR('APA Inputs'!$B$6)),INDEX('APA Summary'!$B$47:$J$47,BG$5-1-2025),0)</f>
        <v>0</v>
      </c>
      <c r="BH21" s="419" t="n">
        <f aca="false">IF(AND(MONTH(BH$4)='APA Inputs'!$B$18,BH$5-1&gt;=YEAR('APA Inputs'!$B$6)),INDEX('APA Summary'!$B$47:$J$47,BH$5-1-2025),0)</f>
        <v>0</v>
      </c>
      <c r="BI21" s="419" t="n">
        <f aca="false">IF(AND(MONTH(BI$4)='APA Inputs'!$B$18,BI$5-1&gt;=YEAR('APA Inputs'!$B$6)),INDEX('APA Summary'!$B$47:$J$47,BI$5-1-2025),0)</f>
        <v>0</v>
      </c>
      <c r="BJ21" s="419" t="n">
        <f aca="false">IF(AND(MONTH(BJ$4)='APA Inputs'!$B$18,BJ$5-1&gt;=YEAR('APA Inputs'!$B$6)),INDEX('APA Summary'!$B$47:$J$47,BJ$5-1-2025),0)</f>
        <v>0</v>
      </c>
      <c r="BK21" s="419" t="n">
        <f aca="false">IF(AND(MONTH(BK$4)='APA Inputs'!$B$18,BK$5-1&gt;=YEAR('APA Inputs'!$B$6)),INDEX('APA Summary'!$B$47:$J$47,BK$5-1-2025),0)</f>
        <v>0</v>
      </c>
      <c r="BL21" s="419" t="n">
        <f aca="false">IF(AND(MONTH(BL$4)='APA Inputs'!$B$18,BL$5-1&gt;=YEAR('APA Inputs'!$B$6)),INDEX('APA Summary'!$B$47:$J$47,BL$5-1-2025),0)</f>
        <v>0</v>
      </c>
      <c r="BM21" s="419" t="n">
        <f aca="false">IF(AND(MONTH(BM$4)='APA Inputs'!$B$18,BM$5-1&gt;=YEAR('APA Inputs'!$B$6)),INDEX('APA Summary'!$B$47:$J$47,BM$5-1-2025),0)</f>
        <v>0</v>
      </c>
      <c r="BN21" s="419" t="n">
        <f aca="false">IF(AND(MONTH(BN$4)='APA Inputs'!$B$18,BN$5-1&gt;=YEAR('APA Inputs'!$B$6)),INDEX('APA Summary'!$B$47:$J$47,BN$5-1-2025),0)</f>
        <v>0</v>
      </c>
      <c r="BO21" s="419" t="n">
        <f aca="false">IF(AND(MONTH(BO$4)='APA Inputs'!$B$18,BO$5-1&gt;=YEAR('APA Inputs'!$B$6)),INDEX('APA Summary'!$B$47:$J$47,BO$5-1-2025),0)</f>
        <v>0</v>
      </c>
      <c r="BP21" s="419" t="n">
        <f aca="false">IF(AND(MONTH(BP$4)='APA Inputs'!$B$18,BP$5-1&gt;=YEAR('APA Inputs'!$B$6)),INDEX('APA Summary'!$B$47:$J$47,BP$5-1-2025),0)</f>
        <v>0</v>
      </c>
      <c r="BQ21" s="419" t="n">
        <f aca="false">IF(AND(MONTH(BQ$4)='APA Inputs'!$B$18,BQ$5-1&gt;=YEAR('APA Inputs'!$B$6)),INDEX('APA Summary'!$B$47:$J$47,BQ$5-1-2025),0)</f>
        <v>0</v>
      </c>
      <c r="BR21" s="419" t="n">
        <f aca="false">IF(AND(MONTH(BR$4)='APA Inputs'!$B$18,BR$5-1&gt;=YEAR('APA Inputs'!$B$6)),INDEX('APA Summary'!$B$47:$J$47,BR$5-1-2025),0)</f>
        <v>0</v>
      </c>
      <c r="BS21" s="419" t="n">
        <f aca="false">IF(AND(MONTH(BS$4)='APA Inputs'!$B$18,BS$5-1&gt;=YEAR('APA Inputs'!$B$6)),INDEX('APA Summary'!$B$47:$J$47,BS$5-1-2025),0)</f>
        <v>0</v>
      </c>
      <c r="BT21" s="419" t="n">
        <f aca="false">IF(AND(MONTH(BT$4)='APA Inputs'!$B$18,BT$5-1&gt;=YEAR('APA Inputs'!$B$6)),INDEX('APA Summary'!$B$47:$J$47,BT$5-1-2025),0)</f>
        <v>0</v>
      </c>
      <c r="BU21" s="419" t="n">
        <f aca="false">IF(AND(MONTH(BU$4)='APA Inputs'!$B$18,BU$5-1&gt;=YEAR('APA Inputs'!$B$6)),INDEX('APA Summary'!$B$47:$J$47,BU$5-1-2025),0)</f>
        <v>0</v>
      </c>
      <c r="BV21" s="419" t="n">
        <f aca="false">IF(AND(MONTH(BV$4)='APA Inputs'!$B$18,BV$5-1&gt;=YEAR('APA Inputs'!$B$6)),INDEX('APA Summary'!$B$47:$J$47,BV$5-1-2025),0)</f>
        <v>0</v>
      </c>
      <c r="BW21" s="419" t="n">
        <f aca="false">IF(AND(MONTH(BW$4)='APA Inputs'!$B$18,BW$5-1&gt;=YEAR('APA Inputs'!$B$6)),INDEX('APA Summary'!$B$47:$J$47,BW$5-1-2025),0)</f>
        <v>0</v>
      </c>
      <c r="BX21" s="419" t="n">
        <f aca="false">IF(AND(MONTH(BX$4)='APA Inputs'!$B$18,BX$5-1&gt;=YEAR('APA Inputs'!$B$6)),INDEX('APA Summary'!$B$47:$J$47,BX$5-1-2025),0)</f>
        <v>0</v>
      </c>
      <c r="BY21" s="419" t="n">
        <f aca="false">IF(AND(MONTH(BY$4)='APA Inputs'!$B$18,BY$5-1&gt;=YEAR('APA Inputs'!$B$6)),INDEX('APA Summary'!$B$47:$J$47,BY$5-1-2025),0)</f>
        <v>0</v>
      </c>
      <c r="BZ21" s="419" t="n">
        <f aca="false">IF(AND(MONTH(BZ$4)='APA Inputs'!$B$18,BZ$5-1&gt;=YEAR('APA Inputs'!$B$6)),INDEX('APA Summary'!$B$47:$J$47,BZ$5-1-2025),0)</f>
        <v>0</v>
      </c>
      <c r="CA21" s="419" t="n">
        <f aca="false">IF(AND(MONTH(CA$4)='APA Inputs'!$B$18,CA$5-1&gt;=YEAR('APA Inputs'!$B$6)),INDEX('APA Summary'!$B$47:$J$47,CA$5-1-2025),0)</f>
        <v>0</v>
      </c>
      <c r="CB21" s="419" t="n">
        <f aca="false">IF(AND(MONTH(CB$4)='APA Inputs'!$B$18,CB$5-1&gt;=YEAR('APA Inputs'!$B$6)),INDEX('APA Summary'!$B$47:$J$47,CB$5-1-2025),0)</f>
        <v>0</v>
      </c>
      <c r="CC21" s="419" t="n">
        <f aca="false">IF(AND(MONTH(CC$4)='APA Inputs'!$B$18,CC$5-1&gt;=YEAR('APA Inputs'!$B$6)),INDEX('APA Summary'!$B$47:$J$47,CC$5-1-2025),0)</f>
        <v>0</v>
      </c>
      <c r="CD21" s="419" t="n">
        <f aca="false">IF(AND(MONTH(CD$4)='APA Inputs'!$B$18,CD$5-1&gt;=YEAR('APA Inputs'!$B$6)),INDEX('APA Summary'!$B$47:$J$47,CD$5-1-2025),0)</f>
        <v>0</v>
      </c>
      <c r="CE21" s="419" t="n">
        <f aca="false">IF(AND(MONTH(CE$4)='APA Inputs'!$B$18,CE$5-1&gt;=YEAR('APA Inputs'!$B$6)),INDEX('APA Summary'!$B$47:$J$47,CE$5-1-2025),0)</f>
        <v>0</v>
      </c>
      <c r="CF21" s="419" t="n">
        <f aca="false">IF(AND(MONTH(CF$4)='APA Inputs'!$B$18,CF$5-1&gt;=YEAR('APA Inputs'!$B$6)),INDEX('APA Summary'!$B$47:$J$47,CF$5-1-2025),0)</f>
        <v>0</v>
      </c>
      <c r="CG21" s="419" t="n">
        <f aca="false">IF(AND(MONTH(CG$4)='APA Inputs'!$B$18,CG$5-1&gt;=YEAR('APA Inputs'!$B$6)),INDEX('APA Summary'!$B$47:$J$47,CG$5-1-2025),0)</f>
        <v>0</v>
      </c>
      <c r="CH21" s="419" t="n">
        <f aca="false">IF(AND(MONTH(CH$4)='APA Inputs'!$B$18,CH$5-1&gt;=YEAR('APA Inputs'!$B$6)),INDEX('APA Summary'!$B$47:$J$47,CH$5-1-2025),0)</f>
        <v>0</v>
      </c>
      <c r="CI21" s="419" t="n">
        <f aca="false">IF(AND(MONTH(CI$4)='APA Inputs'!$B$18,CI$5-1&gt;=YEAR('APA Inputs'!$B$6)),INDEX('APA Summary'!$B$47:$J$47,CI$5-1-2025),0)</f>
        <v>0</v>
      </c>
      <c r="CJ21" s="419" t="n">
        <f aca="false">IF(AND(MONTH(CJ$4)='APA Inputs'!$B$18,CJ$5-1&gt;=YEAR('APA Inputs'!$B$6)),INDEX('APA Summary'!$B$47:$J$47,CJ$5-1-2025),0)</f>
        <v>0</v>
      </c>
      <c r="CK21" s="419" t="n">
        <f aca="false">IF(AND(MONTH(CK$4)='APA Inputs'!$B$18,CK$5-1&gt;=YEAR('APA Inputs'!$B$6)),INDEX('APA Summary'!$B$47:$J$47,CK$5-1-2025),0)</f>
        <v>0</v>
      </c>
      <c r="CL21" s="419" t="n">
        <f aca="false">IF(AND(MONTH(CL$4)='APA Inputs'!$B$18,CL$5-1&gt;=YEAR('APA Inputs'!$B$6)),INDEX('APA Summary'!$B$47:$J$47,CL$5-1-2025),0)</f>
        <v>0</v>
      </c>
      <c r="CM21" s="419" t="n">
        <f aca="false">IF(AND(MONTH(CM$4)='APA Inputs'!$B$18,CM$5-1&gt;=YEAR('APA Inputs'!$B$6)),INDEX('APA Summary'!$B$47:$J$47,CM$5-1-2025),0)</f>
        <v>0</v>
      </c>
      <c r="CN21" s="419" t="n">
        <f aca="false">IF(AND(MONTH(CN$4)='APA Inputs'!$B$18,CN$5-1&gt;=YEAR('APA Inputs'!$B$6)),INDEX('APA Summary'!$B$47:$J$47,CN$5-1-2025),0)</f>
        <v>0</v>
      </c>
      <c r="CO21" s="419" t="n">
        <f aca="false">IF(AND(MONTH(CO$4)='APA Inputs'!$B$18,CO$5-1&gt;=YEAR('APA Inputs'!$B$6)),INDEX('APA Summary'!$B$47:$J$47,CO$5-1-2025),0)</f>
        <v>0</v>
      </c>
      <c r="CP21" s="419" t="n">
        <f aca="false">IF(AND(MONTH(CP$4)='APA Inputs'!$B$18,CP$5-1&gt;=YEAR('APA Inputs'!$B$6)),INDEX('APA Summary'!$B$47:$J$47,CP$5-1-2025),0)</f>
        <v>0</v>
      </c>
      <c r="CQ21" s="419" t="n">
        <f aca="false">IF(AND(MONTH(CQ$4)='APA Inputs'!$B$18,CQ$5-1&gt;=YEAR('APA Inputs'!$B$6)),INDEX('APA Summary'!$B$47:$J$47,CQ$5-1-2025),0)</f>
        <v>0</v>
      </c>
      <c r="CR21" s="419" t="n">
        <f aca="false">IF(AND(MONTH(CR$4)='APA Inputs'!$B$18,CR$5-1&gt;=YEAR('APA Inputs'!$B$6)),INDEX('APA Summary'!$B$47:$J$47,CR$5-1-2025),0)</f>
        <v>0</v>
      </c>
      <c r="CS21" s="419" t="n">
        <f aca="false">IF(AND(MONTH(CS$4)='APA Inputs'!$B$18,CS$5-1&gt;=YEAR('APA Inputs'!$B$6)),INDEX('APA Summary'!$B$47:$J$47,CS$5-1-2025),0)</f>
        <v>0</v>
      </c>
      <c r="CT21" s="419" t="n">
        <f aca="false">IF(AND(MONTH(CT$4)='APA Inputs'!$B$18,CT$5-1&gt;=YEAR('APA Inputs'!$B$6)),INDEX('APA Summary'!$B$47:$J$47,CT$5-1-2025),0)</f>
        <v>0</v>
      </c>
      <c r="CU21" s="419" t="n">
        <f aca="false">IF(AND(MONTH(CU$4)='APA Inputs'!$B$18,CU$5-1&gt;=YEAR('APA Inputs'!$B$6)),INDEX('APA Summary'!$B$47:$J$47,CU$5-1-2025),0)</f>
        <v>0</v>
      </c>
      <c r="CV21" s="419" t="n">
        <f aca="false">IF(AND(MONTH(CV$4)='APA Inputs'!$B$18,CV$5-1&gt;=YEAR('APA Inputs'!$B$6)),INDEX('APA Summary'!$B$47:$J$47,CV$5-1-2025),0)</f>
        <v>0</v>
      </c>
      <c r="CW21" s="419" t="n">
        <f aca="false">IF(AND(MONTH(CW$4)='APA Inputs'!$B$18,CW$5-1&gt;=YEAR('APA Inputs'!$B$6)),INDEX('APA Summary'!$B$47:$J$47,CW$5-1-2025),0)</f>
        <v>0</v>
      </c>
      <c r="CX21" s="419" t="n">
        <f aca="false">IF(AND(MONTH(CX$4)='APA Inputs'!$B$18,CX$5-1&gt;=YEAR('APA Inputs'!$B$6)),INDEX('APA Summary'!$B$47:$J$47,CX$5-1-2025),0)</f>
        <v>0</v>
      </c>
      <c r="CY21" s="419" t="n">
        <f aca="false">IF(AND(MONTH(CY$4)='APA Inputs'!$B$18,CY$5-1&gt;=YEAR('APA Inputs'!$B$6)),INDEX('APA Summary'!$B$47:$J$47,CY$5-1-2025),0)</f>
        <v>0</v>
      </c>
      <c r="CZ21" s="419" t="n">
        <f aca="false">IF(AND(MONTH(CZ$4)='APA Inputs'!$B$18,CZ$5-1&gt;=YEAR('APA Inputs'!$B$6)),INDEX('APA Summary'!$B$47:$J$47,CZ$5-1-2025),0)</f>
        <v>0</v>
      </c>
      <c r="DA21" s="419" t="n">
        <f aca="false">IF(AND(MONTH(DA$4)='APA Inputs'!$B$18,DA$5-1&gt;=YEAR('APA Inputs'!$B$6)),INDEX('APA Summary'!$B$47:$J$47,DA$5-1-2025),0)</f>
        <v>0</v>
      </c>
      <c r="DB21" s="419" t="n">
        <f aca="false">IF(AND(MONTH(DB$4)='APA Inputs'!$B$18,DB$5-1&gt;=YEAR('APA Inputs'!$B$6)),INDEX('APA Summary'!$B$47:$J$47,DB$5-1-2025),0)</f>
        <v>0</v>
      </c>
      <c r="DC21" s="419" t="n">
        <f aca="false">IF(AND(MONTH(DC$4)='APA Inputs'!$B$18,DC$5-1&gt;=YEAR('APA Inputs'!$B$6)),INDEX('APA Summary'!$B$47:$J$47,DC$5-1-2025),0)</f>
        <v>0</v>
      </c>
      <c r="DD21" s="419" t="n">
        <f aca="false">IF(AND(MONTH(DD$4)='APA Inputs'!$B$18,DD$5-1&gt;=YEAR('APA Inputs'!$B$6)),INDEX('APA Summary'!$B$47:$J$47,DD$5-1-2025),0)</f>
        <v>0</v>
      </c>
      <c r="DE21" s="419" t="n">
        <f aca="false">IF(AND(MONTH(DE$4)='APA Inputs'!$B$18,DE$5-1&gt;=YEAR('APA Inputs'!$B$6)),INDEX('APA Summary'!$B$47:$J$47,DE$5-1-2025),0)</f>
        <v>0</v>
      </c>
    </row>
    <row r="22" customFormat="false" ht="15" hidden="false" customHeight="true" outlineLevel="0" collapsed="false">
      <c r="A22" s="400" t="s">
        <v>1397</v>
      </c>
      <c r="B22" s="419" t="n">
        <f aca="false">B20+B21</f>
        <v>0</v>
      </c>
      <c r="C22" s="419" t="n">
        <f aca="false">C20+C21</f>
        <v>0</v>
      </c>
      <c r="D22" s="419" t="n">
        <f aca="false">D20+D21</f>
        <v>0</v>
      </c>
      <c r="E22" s="419" t="n">
        <f aca="false">E20+E21</f>
        <v>0</v>
      </c>
      <c r="F22" s="419" t="n">
        <f aca="false">F20+F21</f>
        <v>0</v>
      </c>
      <c r="G22" s="419" t="n">
        <f aca="false">G20+G21</f>
        <v>0</v>
      </c>
      <c r="H22" s="419" t="n">
        <f aca="false">H20+H21</f>
        <v>1108.06288333333</v>
      </c>
      <c r="I22" s="419" t="n">
        <f aca="false">I20+I21</f>
        <v>1108.06288333333</v>
      </c>
      <c r="J22" s="419" t="n">
        <f aca="false">J20+J21</f>
        <v>1108.06288333333</v>
      </c>
      <c r="K22" s="419" t="n">
        <f aca="false">K20+K21</f>
        <v>1108.06288333333</v>
      </c>
      <c r="L22" s="419" t="n">
        <f aca="false">L20+L21</f>
        <v>1108.06288333333</v>
      </c>
      <c r="M22" s="419" t="n">
        <f aca="false">M20+M21</f>
        <v>1108.06288333333</v>
      </c>
      <c r="N22" s="419" t="n">
        <f aca="false">N20+N21</f>
        <v>0</v>
      </c>
      <c r="O22" s="419" t="n">
        <f aca="false">O20+O21</f>
        <v>0</v>
      </c>
      <c r="P22" s="419" t="n">
        <f aca="false">P20+P21</f>
        <v>915.383032999997</v>
      </c>
      <c r="Q22" s="419" t="n">
        <f aca="false">Q20+Q21</f>
        <v>0</v>
      </c>
      <c r="R22" s="419" t="n">
        <f aca="false">R20+R21</f>
        <v>0</v>
      </c>
      <c r="S22" s="419" t="n">
        <f aca="false">S20+S21</f>
        <v>0</v>
      </c>
      <c r="T22" s="419" t="n">
        <f aca="false">T20+T21</f>
        <v>0</v>
      </c>
      <c r="U22" s="419" t="n">
        <f aca="false">U20+U21</f>
        <v>0</v>
      </c>
      <c r="V22" s="419" t="n">
        <f aca="false">V20+V21</f>
        <v>0</v>
      </c>
      <c r="W22" s="419" t="n">
        <f aca="false">W20+W21</f>
        <v>0</v>
      </c>
      <c r="X22" s="419" t="n">
        <f aca="false">X20+X21</f>
        <v>0</v>
      </c>
      <c r="Y22" s="419" t="n">
        <f aca="false">Y20+Y21</f>
        <v>0</v>
      </c>
      <c r="Z22" s="419" t="n">
        <f aca="false">Z20+Z21</f>
        <v>0</v>
      </c>
      <c r="AA22" s="419" t="n">
        <f aca="false">AA20+AA21</f>
        <v>0</v>
      </c>
      <c r="AB22" s="419" t="n">
        <f aca="false">AB20+AB21</f>
        <v>0</v>
      </c>
      <c r="AC22" s="419" t="n">
        <f aca="false">AC20+AC21</f>
        <v>0</v>
      </c>
      <c r="AD22" s="419" t="n">
        <f aca="false">AD20+AD21</f>
        <v>0</v>
      </c>
      <c r="AE22" s="419" t="n">
        <f aca="false">AE20+AE21</f>
        <v>0</v>
      </c>
      <c r="AF22" s="419" t="n">
        <f aca="false">AF20+AF21</f>
        <v>0</v>
      </c>
      <c r="AG22" s="419" t="n">
        <f aca="false">AG20+AG21</f>
        <v>0</v>
      </c>
      <c r="AH22" s="419" t="n">
        <f aca="false">AH20+AH21</f>
        <v>0</v>
      </c>
      <c r="AI22" s="419" t="n">
        <f aca="false">AI20+AI21</f>
        <v>0</v>
      </c>
      <c r="AJ22" s="419" t="n">
        <f aca="false">AJ20+AJ21</f>
        <v>0</v>
      </c>
      <c r="AK22" s="419" t="n">
        <f aca="false">AK20+AK21</f>
        <v>0</v>
      </c>
      <c r="AL22" s="419" t="n">
        <f aca="false">AL20+AL21</f>
        <v>0</v>
      </c>
      <c r="AM22" s="419" t="n">
        <f aca="false">AM20+AM21</f>
        <v>0</v>
      </c>
      <c r="AN22" s="419" t="n">
        <f aca="false">AN20+AN21</f>
        <v>0</v>
      </c>
      <c r="AO22" s="419" t="n">
        <f aca="false">AO20+AO21</f>
        <v>0</v>
      </c>
      <c r="AP22" s="419" t="n">
        <f aca="false">AP20+AP21</f>
        <v>0</v>
      </c>
      <c r="AQ22" s="419" t="n">
        <f aca="false">AQ20+AQ21</f>
        <v>0</v>
      </c>
      <c r="AR22" s="419" t="n">
        <f aca="false">AR20+AR21</f>
        <v>0</v>
      </c>
      <c r="AS22" s="419" t="n">
        <f aca="false">AS20+AS21</f>
        <v>0</v>
      </c>
      <c r="AT22" s="419" t="n">
        <f aca="false">AT20+AT21</f>
        <v>0</v>
      </c>
      <c r="AU22" s="419" t="n">
        <f aca="false">AU20+AU21</f>
        <v>0</v>
      </c>
      <c r="AV22" s="419" t="n">
        <f aca="false">AV20+AV21</f>
        <v>0</v>
      </c>
      <c r="AW22" s="419" t="n">
        <f aca="false">AW20+AW21</f>
        <v>0</v>
      </c>
      <c r="AX22" s="419" t="n">
        <f aca="false">AX20+AX21</f>
        <v>0</v>
      </c>
      <c r="AY22" s="419" t="n">
        <f aca="false">AY20+AY21</f>
        <v>0</v>
      </c>
      <c r="AZ22" s="419" t="n">
        <f aca="false">AZ20+AZ21</f>
        <v>0</v>
      </c>
      <c r="BA22" s="419" t="n">
        <f aca="false">BA20+BA21</f>
        <v>0</v>
      </c>
      <c r="BB22" s="419" t="n">
        <f aca="false">BB20+BB21</f>
        <v>0</v>
      </c>
      <c r="BC22" s="419" t="n">
        <f aca="false">BC20+BC21</f>
        <v>0</v>
      </c>
      <c r="BD22" s="419" t="n">
        <f aca="false">BD20+BD21</f>
        <v>0</v>
      </c>
      <c r="BE22" s="419" t="n">
        <f aca="false">BE20+BE21</f>
        <v>0</v>
      </c>
      <c r="BF22" s="419" t="n">
        <f aca="false">BF20+BF21</f>
        <v>0</v>
      </c>
      <c r="BG22" s="419" t="n">
        <f aca="false">BG20+BG21</f>
        <v>0</v>
      </c>
      <c r="BH22" s="419" t="n">
        <f aca="false">BH20+BH21</f>
        <v>0</v>
      </c>
      <c r="BI22" s="419" t="n">
        <f aca="false">BI20+BI21</f>
        <v>0</v>
      </c>
      <c r="BJ22" s="419" t="n">
        <f aca="false">BJ20+BJ21</f>
        <v>0</v>
      </c>
      <c r="BK22" s="419" t="n">
        <f aca="false">BK20+BK21</f>
        <v>0</v>
      </c>
      <c r="BL22" s="419" t="n">
        <f aca="false">BL20+BL21</f>
        <v>0</v>
      </c>
      <c r="BM22" s="419" t="n">
        <f aca="false">BM20+BM21</f>
        <v>0</v>
      </c>
      <c r="BN22" s="419" t="n">
        <f aca="false">BN20+BN21</f>
        <v>0</v>
      </c>
      <c r="BO22" s="419" t="n">
        <f aca="false">BO20+BO21</f>
        <v>0</v>
      </c>
      <c r="BP22" s="419" t="n">
        <f aca="false">BP20+BP21</f>
        <v>0</v>
      </c>
      <c r="BQ22" s="419" t="n">
        <f aca="false">BQ20+BQ21</f>
        <v>0</v>
      </c>
      <c r="BR22" s="419" t="n">
        <f aca="false">BR20+BR21</f>
        <v>0</v>
      </c>
      <c r="BS22" s="419" t="n">
        <f aca="false">BS20+BS21</f>
        <v>0</v>
      </c>
      <c r="BT22" s="419" t="n">
        <f aca="false">BT20+BT21</f>
        <v>0</v>
      </c>
      <c r="BU22" s="419" t="n">
        <f aca="false">BU20+BU21</f>
        <v>0</v>
      </c>
      <c r="BV22" s="419" t="n">
        <f aca="false">BV20+BV21</f>
        <v>0</v>
      </c>
      <c r="BW22" s="419" t="n">
        <f aca="false">BW20+BW21</f>
        <v>0</v>
      </c>
      <c r="BX22" s="419" t="n">
        <f aca="false">BX20+BX21</f>
        <v>0</v>
      </c>
      <c r="BY22" s="419" t="n">
        <f aca="false">BY20+BY21</f>
        <v>0</v>
      </c>
      <c r="BZ22" s="419" t="n">
        <f aca="false">BZ20+BZ21</f>
        <v>0</v>
      </c>
      <c r="CA22" s="419" t="n">
        <f aca="false">CA20+CA21</f>
        <v>0</v>
      </c>
      <c r="CB22" s="419" t="n">
        <f aca="false">CB20+CB21</f>
        <v>0</v>
      </c>
      <c r="CC22" s="419" t="n">
        <f aca="false">CC20+CC21</f>
        <v>0</v>
      </c>
      <c r="CD22" s="419" t="n">
        <f aca="false">CD20+CD21</f>
        <v>0</v>
      </c>
      <c r="CE22" s="419" t="n">
        <f aca="false">CE20+CE21</f>
        <v>0</v>
      </c>
      <c r="CF22" s="419" t="n">
        <f aca="false">CF20+CF21</f>
        <v>0</v>
      </c>
      <c r="CG22" s="419" t="n">
        <f aca="false">CG20+CG21</f>
        <v>0</v>
      </c>
      <c r="CH22" s="419" t="n">
        <f aca="false">CH20+CH21</f>
        <v>0</v>
      </c>
      <c r="CI22" s="419" t="n">
        <f aca="false">CI20+CI21</f>
        <v>0</v>
      </c>
      <c r="CJ22" s="419" t="n">
        <f aca="false">CJ20+CJ21</f>
        <v>0</v>
      </c>
      <c r="CK22" s="419" t="n">
        <f aca="false">CK20+CK21</f>
        <v>0</v>
      </c>
      <c r="CL22" s="419" t="n">
        <f aca="false">CL20+CL21</f>
        <v>0</v>
      </c>
      <c r="CM22" s="419" t="n">
        <f aca="false">CM20+CM21</f>
        <v>0</v>
      </c>
      <c r="CN22" s="419" t="n">
        <f aca="false">CN20+CN21</f>
        <v>0</v>
      </c>
      <c r="CO22" s="419" t="n">
        <f aca="false">CO20+CO21</f>
        <v>0</v>
      </c>
      <c r="CP22" s="419" t="n">
        <f aca="false">CP20+CP21</f>
        <v>0</v>
      </c>
      <c r="CQ22" s="419" t="n">
        <f aca="false">CQ20+CQ21</f>
        <v>0</v>
      </c>
      <c r="CR22" s="419" t="n">
        <f aca="false">CR20+CR21</f>
        <v>0</v>
      </c>
      <c r="CS22" s="419" t="n">
        <f aca="false">CS20+CS21</f>
        <v>0</v>
      </c>
      <c r="CT22" s="419" t="n">
        <f aca="false">CT20+CT21</f>
        <v>0</v>
      </c>
      <c r="CU22" s="419" t="n">
        <f aca="false">CU20+CU21</f>
        <v>0</v>
      </c>
      <c r="CV22" s="419" t="n">
        <f aca="false">CV20+CV21</f>
        <v>0</v>
      </c>
      <c r="CW22" s="419" t="n">
        <f aca="false">CW20+CW21</f>
        <v>0</v>
      </c>
      <c r="CX22" s="419" t="n">
        <f aca="false">CX20+CX21</f>
        <v>0</v>
      </c>
      <c r="CY22" s="419" t="n">
        <f aca="false">CY20+CY21</f>
        <v>0</v>
      </c>
      <c r="CZ22" s="419" t="n">
        <f aca="false">CZ20+CZ21</f>
        <v>0</v>
      </c>
      <c r="DA22" s="419" t="n">
        <f aca="false">DA20+DA21</f>
        <v>0</v>
      </c>
      <c r="DB22" s="419" t="n">
        <f aca="false">DB20+DB21</f>
        <v>0</v>
      </c>
      <c r="DC22" s="419" t="n">
        <f aca="false">DC20+DC21</f>
        <v>0</v>
      </c>
      <c r="DD22" s="419" t="n">
        <f aca="false">DD20+DD21</f>
        <v>0</v>
      </c>
      <c r="DE22" s="419"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145" t="s">
        <v>1398</v>
      </c>
    </row>
    <row r="2" customFormat="false" ht="15" hidden="false" customHeight="true" outlineLevel="0" collapsed="false">
      <c r="A2" s="399" t="s">
        <v>1399</v>
      </c>
    </row>
    <row r="20" customFormat="false" ht="15" hidden="false" customHeight="true" outlineLevel="0" collapsed="false">
      <c r="A20" s="402" t="s">
        <v>1400</v>
      </c>
      <c r="B20" s="402" t="s">
        <v>1401</v>
      </c>
      <c r="C20" s="402" t="s">
        <v>546</v>
      </c>
      <c r="D20" s="402" t="s">
        <v>1402</v>
      </c>
      <c r="E20" s="402" t="s">
        <v>1403</v>
      </c>
      <c r="F20" s="402" t="s">
        <v>1404</v>
      </c>
      <c r="G20" s="402" t="s">
        <v>1405</v>
      </c>
      <c r="H20" s="402" t="s">
        <v>1406</v>
      </c>
      <c r="I20" s="402" t="s">
        <v>1407</v>
      </c>
      <c r="J20" s="402" t="s">
        <v>1408</v>
      </c>
      <c r="K20" s="402" t="s">
        <v>489</v>
      </c>
    </row>
    <row r="21" customFormat="false" ht="15" hidden="false" customHeight="true" outlineLevel="0" collapsed="false">
      <c r="A21" s="403" t="s">
        <v>1409</v>
      </c>
      <c r="B21" s="410" t="n">
        <v>2026</v>
      </c>
      <c r="C21" s="420" t="n">
        <f aca="false">B21+1</f>
        <v>2027</v>
      </c>
      <c r="D21" s="420" t="n">
        <f aca="false">C21+1</f>
        <v>2028</v>
      </c>
      <c r="E21" s="420" t="n">
        <f aca="false">D21+1</f>
        <v>2029</v>
      </c>
      <c r="F21" s="420" t="n">
        <f aca="false">E21+1</f>
        <v>2030</v>
      </c>
      <c r="G21" s="420" t="n">
        <f aca="false">F21+1</f>
        <v>2031</v>
      </c>
      <c r="H21" s="420" t="n">
        <f aca="false">G21+1</f>
        <v>2032</v>
      </c>
      <c r="I21" s="420" t="n">
        <f aca="false">H21+1</f>
        <v>2033</v>
      </c>
      <c r="J21" s="420" t="n">
        <f aca="false">I21+1</f>
        <v>2034</v>
      </c>
      <c r="K21" s="421"/>
    </row>
    <row r="22" customFormat="false" ht="15" hidden="false" customHeight="true" outlineLevel="0" collapsed="false">
      <c r="A22" s="403" t="s">
        <v>1410</v>
      </c>
      <c r="B22" s="420" t="n">
        <f aca="false">IF(B21=YEAR('APA Inputs'!$B$6),13-MONTH('APA Inputs'!$B$6),IF(B21&lt;YEAR('APA Inputs'!$B$6),0,12))</f>
        <v>6</v>
      </c>
      <c r="C22" s="420" t="n">
        <f aca="false">IF(C21=YEAR('APA Inputs'!$B$6),13-MONTH('APA Inputs'!$B$6),IF(C21&lt;YEAR('APA Inputs'!$B$6),0,12))</f>
        <v>12</v>
      </c>
      <c r="D22" s="420" t="n">
        <f aca="false">IF(D21=YEAR('APA Inputs'!$B$6),13-MONTH('APA Inputs'!$B$6),IF(D21&lt;YEAR('APA Inputs'!$B$6),0,12))</f>
        <v>12</v>
      </c>
      <c r="E22" s="420" t="n">
        <f aca="false">IF(E21=YEAR('APA Inputs'!$B$6),13-MONTH('APA Inputs'!$B$6),IF(E21&lt;YEAR('APA Inputs'!$B$6),0,12))</f>
        <v>12</v>
      </c>
      <c r="F22" s="420" t="n">
        <f aca="false">IF(F21=YEAR('APA Inputs'!$B$6),13-MONTH('APA Inputs'!$B$6),IF(F21&lt;YEAR('APA Inputs'!$B$6),0,12))</f>
        <v>12</v>
      </c>
      <c r="G22" s="420" t="n">
        <f aca="false">IF(G21=YEAR('APA Inputs'!$B$6),13-MONTH('APA Inputs'!$B$6),IF(G21&lt;YEAR('APA Inputs'!$B$6),0,12))</f>
        <v>12</v>
      </c>
      <c r="H22" s="420" t="n">
        <f aca="false">IF(H21=YEAR('APA Inputs'!$B$6),13-MONTH('APA Inputs'!$B$6),IF(H21&lt;YEAR('APA Inputs'!$B$6),0,12))</f>
        <v>12</v>
      </c>
      <c r="I22" s="420" t="n">
        <f aca="false">IF(I21=YEAR('APA Inputs'!$B$6),13-MONTH('APA Inputs'!$B$6),IF(I21&lt;YEAR('APA Inputs'!$B$6),0,12))</f>
        <v>12</v>
      </c>
      <c r="J22" s="420" t="n">
        <f aca="false">IF(J21=YEAR('APA Inputs'!$B$6),13-MONTH('APA Inputs'!$B$6),IF(J21&lt;YEAR('APA Inputs'!$B$6),0,12))</f>
        <v>12</v>
      </c>
      <c r="K22" s="421"/>
    </row>
    <row r="23" customFormat="false" ht="15" hidden="false" customHeight="true" outlineLevel="0" collapsed="false">
      <c r="A23" s="411" t="s">
        <v>1411</v>
      </c>
      <c r="B23" s="422" t="n">
        <f aca="false">SUMIF('APA Schedule'!$B$5:$DE$5,B21,'APA Schedule'!$B$17:$DE$17)</f>
        <v>103914.18</v>
      </c>
      <c r="C23" s="422" t="n">
        <f aca="false">SUMIF('APA Schedule'!$B$5:$DE$5,C21,'APA Schedule'!$B$17:$DE$17)</f>
        <v>172240.34</v>
      </c>
      <c r="D23" s="422" t="n">
        <f aca="false">SUMIF('APA Schedule'!$B$5:$DE$5,D21,'APA Schedule'!$B$17:$DE$17)</f>
        <v>54162.62</v>
      </c>
      <c r="E23" s="422" t="n">
        <f aca="false">SUMIF('APA Schedule'!$B$5:$DE$5,E21,'APA Schedule'!$B$17:$DE$17)</f>
        <v>0</v>
      </c>
      <c r="F23" s="422" t="n">
        <f aca="false">SUMIF('APA Schedule'!$B$5:$DE$5,F21,'APA Schedule'!$B$17:$DE$17)</f>
        <v>0</v>
      </c>
      <c r="G23" s="422" t="n">
        <f aca="false">SUMIF('APA Schedule'!$B$5:$DE$5,G21,'APA Schedule'!$B$17:$DE$17)</f>
        <v>0</v>
      </c>
      <c r="H23" s="422" t="n">
        <f aca="false">SUMIF('APA Schedule'!$B$5:$DE$5,H21,'APA Schedule'!$B$17:$DE$17)</f>
        <v>0</v>
      </c>
      <c r="I23" s="422" t="n">
        <f aca="false">SUMIF('APA Schedule'!$B$5:$DE$5,I21,'APA Schedule'!$B$17:$DE$17)</f>
        <v>0</v>
      </c>
      <c r="J23" s="422" t="n">
        <f aca="false">SUMIF('APA Schedule'!$B$5:$DE$5,J21,'APA Schedule'!$B$17:$DE$17)</f>
        <v>0</v>
      </c>
      <c r="K23" s="423" t="n">
        <f aca="false">SUM(B23:J23)</f>
        <v>330317.14</v>
      </c>
    </row>
    <row r="24" customFormat="false" ht="15" hidden="false" customHeight="true" outlineLevel="0" collapsed="false">
      <c r="A24" s="424" t="s">
        <v>1412</v>
      </c>
      <c r="B24" s="421"/>
      <c r="C24" s="421"/>
      <c r="D24" s="421"/>
      <c r="E24" s="421"/>
      <c r="F24" s="421"/>
      <c r="G24" s="421"/>
      <c r="H24" s="421"/>
      <c r="I24" s="421"/>
      <c r="J24" s="421"/>
      <c r="K24" s="421"/>
    </row>
    <row r="25" customFormat="false" ht="15" hidden="false" customHeight="true" outlineLevel="0" collapsed="false">
      <c r="A25" s="403" t="s">
        <v>1413</v>
      </c>
      <c r="B25" s="415" t="n">
        <f aca="false">'APA Inputs'!$B$10*(1+'APA Inputs'!$B$11)^MAX(0,B21-$C$21)*B22/12</f>
        <v>12500</v>
      </c>
      <c r="C25" s="415" t="n">
        <f aca="false">'APA Inputs'!$B$10*(1+'APA Inputs'!$B$11)^MAX(0,C21-$C$21)*C22/12</f>
        <v>25000</v>
      </c>
      <c r="D25" s="415" t="n">
        <f aca="false">'APA Inputs'!$B$10*(1+'APA Inputs'!$B$11)^MAX(0,D21-$C$21)*D22/12</f>
        <v>25750</v>
      </c>
      <c r="E25" s="415" t="n">
        <f aca="false">'APA Inputs'!$B$10*(1+'APA Inputs'!$B$11)^MAX(0,E21-$C$21)*E22/12</f>
        <v>26522.5</v>
      </c>
      <c r="F25" s="415" t="n">
        <f aca="false">'APA Inputs'!$B$10*(1+'APA Inputs'!$B$11)^MAX(0,F21-$C$21)*F22/12</f>
        <v>27318.175</v>
      </c>
      <c r="G25" s="415" t="n">
        <f aca="false">'APA Inputs'!$B$10*(1+'APA Inputs'!$B$11)^MAX(0,G21-$C$21)*G22/12</f>
        <v>28137.72025</v>
      </c>
      <c r="H25" s="415" t="n">
        <f aca="false">'APA Inputs'!$B$10*(1+'APA Inputs'!$B$11)^MAX(0,H21-$C$21)*H22/12</f>
        <v>28981.8518575</v>
      </c>
      <c r="I25" s="415" t="n">
        <f aca="false">'APA Inputs'!$B$10*(1+'APA Inputs'!$B$11)^MAX(0,I21-$C$21)*I22/12</f>
        <v>29851.307413225</v>
      </c>
      <c r="J25" s="415" t="n">
        <f aca="false">'APA Inputs'!$B$10*(1+'APA Inputs'!$B$11)^MAX(0,J21-$C$21)*J22/12</f>
        <v>30746.8466356218</v>
      </c>
      <c r="K25" s="423" t="n">
        <f aca="false">SUM(B25:J25)</f>
        <v>234808.401156347</v>
      </c>
    </row>
    <row r="26" customFormat="false" ht="15" hidden="false" customHeight="true" outlineLevel="0" collapsed="false">
      <c r="A26" s="411" t="s">
        <v>1414</v>
      </c>
      <c r="B26" s="423" t="n">
        <f aca="false">B23-B25</f>
        <v>91414.18</v>
      </c>
      <c r="C26" s="423" t="n">
        <f aca="false">C23-C25</f>
        <v>147240.34</v>
      </c>
      <c r="D26" s="423" t="n">
        <f aca="false">D23-D25</f>
        <v>28412.62</v>
      </c>
      <c r="E26" s="423" t="n">
        <f aca="false">E23-E25</f>
        <v>-26522.5</v>
      </c>
      <c r="F26" s="423" t="n">
        <f aca="false">F23-F25</f>
        <v>-27318.175</v>
      </c>
      <c r="G26" s="423" t="n">
        <f aca="false">G23-G25</f>
        <v>-28137.72025</v>
      </c>
      <c r="H26" s="423" t="n">
        <f aca="false">H23-H25</f>
        <v>-28981.8518575</v>
      </c>
      <c r="I26" s="423" t="n">
        <f aca="false">I23-I25</f>
        <v>-29851.307413225</v>
      </c>
      <c r="J26" s="423" t="n">
        <f aca="false">J23-J25</f>
        <v>-30746.8466356218</v>
      </c>
      <c r="K26" s="423" t="n">
        <f aca="false">SUM(B26:J26)</f>
        <v>95508.7388436532</v>
      </c>
    </row>
    <row r="27" customFormat="false" ht="15" hidden="false" customHeight="true" outlineLevel="0" collapsed="false">
      <c r="A27" s="424" t="s">
        <v>1415</v>
      </c>
      <c r="B27" s="421"/>
      <c r="C27" s="421"/>
      <c r="D27" s="421"/>
      <c r="E27" s="421"/>
      <c r="F27" s="421"/>
      <c r="G27" s="421"/>
      <c r="H27" s="421"/>
      <c r="I27" s="421"/>
      <c r="J27" s="421"/>
      <c r="K27" s="421"/>
    </row>
    <row r="28" customFormat="false" ht="15" hidden="false" customHeight="true" outlineLevel="0" collapsed="false">
      <c r="A28" s="403" t="s">
        <v>1416</v>
      </c>
      <c r="B28" s="420" t="n">
        <f aca="false">MAX(0,MIN(B22,(B21-YEAR('APA Inputs'!$B$9))*12+13-MONTH('APA Inputs'!$B$9)))</f>
        <v>0</v>
      </c>
      <c r="C28" s="420" t="n">
        <f aca="false">MAX(0,MIN(C22,(C21-YEAR('APA Inputs'!$B$9))*12+13-MONTH('APA Inputs'!$B$9)))</f>
        <v>0</v>
      </c>
      <c r="D28" s="420" t="n">
        <f aca="false">MAX(0,MIN(D22,(D21-YEAR('APA Inputs'!$B$9))*12+13-MONTH('APA Inputs'!$B$9)))</f>
        <v>0</v>
      </c>
      <c r="E28" s="420" t="n">
        <f aca="false">MAX(0,MIN(E22,(E21-YEAR('APA Inputs'!$B$9))*12+13-MONTH('APA Inputs'!$B$9)))</f>
        <v>0</v>
      </c>
      <c r="F28" s="420" t="n">
        <f aca="false">MAX(0,MIN(F22,(F21-YEAR('APA Inputs'!$B$9))*12+13-MONTH('APA Inputs'!$B$9)))</f>
        <v>0</v>
      </c>
      <c r="G28" s="420" t="n">
        <f aca="false">MAX(0,MIN(G22,(G21-YEAR('APA Inputs'!$B$9))*12+13-MONTH('APA Inputs'!$B$9)))</f>
        <v>0</v>
      </c>
      <c r="H28" s="420" t="n">
        <f aca="false">MAX(0,MIN(H22,(H21-YEAR('APA Inputs'!$B$9))*12+13-MONTH('APA Inputs'!$B$9)))</f>
        <v>0</v>
      </c>
      <c r="I28" s="420" t="n">
        <f aca="false">MAX(0,MIN(I22,(I21-YEAR('APA Inputs'!$B$9))*12+13-MONTH('APA Inputs'!$B$9)))</f>
        <v>0</v>
      </c>
      <c r="J28" s="420" t="n">
        <f aca="false">MAX(0,MIN(J22,(J21-YEAR('APA Inputs'!$B$9))*12+13-MONTH('APA Inputs'!$B$9)))</f>
        <v>0</v>
      </c>
      <c r="K28" s="421"/>
    </row>
    <row r="29" customFormat="false" ht="15" hidden="false" customHeight="true" outlineLevel="0" collapsed="false">
      <c r="A29" s="403" t="s">
        <v>1417</v>
      </c>
      <c r="B29" s="415" t="n">
        <f aca="false">(B22-B28)/12*'APA Inputs'!$B$7+B28/12*'APA Inputs'!$B$8</f>
        <v>75000</v>
      </c>
      <c r="C29" s="415" t="n">
        <f aca="false">(C22-C28)/12*'APA Inputs'!$B$7+C28/12*'APA Inputs'!$B$8</f>
        <v>150000</v>
      </c>
      <c r="D29" s="415" t="n">
        <f aca="false">(D22-D28)/12*'APA Inputs'!$B$7+D28/12*'APA Inputs'!$B$8</f>
        <v>150000</v>
      </c>
      <c r="E29" s="415" t="n">
        <f aca="false">(E22-E28)/12*'APA Inputs'!$B$7+E28/12*'APA Inputs'!$B$8</f>
        <v>150000</v>
      </c>
      <c r="F29" s="415" t="n">
        <f aca="false">(F22-F28)/12*'APA Inputs'!$B$7+F28/12*'APA Inputs'!$B$8</f>
        <v>150000</v>
      </c>
      <c r="G29" s="415" t="n">
        <f aca="false">(G22-G28)/12*'APA Inputs'!$B$7+G28/12*'APA Inputs'!$B$8</f>
        <v>150000</v>
      </c>
      <c r="H29" s="415" t="n">
        <f aca="false">(H22-H28)/12*'APA Inputs'!$B$7+H28/12*'APA Inputs'!$B$8</f>
        <v>150000</v>
      </c>
      <c r="I29" s="415" t="n">
        <f aca="false">(I22-I28)/12*'APA Inputs'!$B$7+I28/12*'APA Inputs'!$B$8</f>
        <v>150000</v>
      </c>
      <c r="J29" s="415" t="n">
        <f aca="false">(J22-J28)/12*'APA Inputs'!$B$7+J28/12*'APA Inputs'!$B$8</f>
        <v>150000</v>
      </c>
      <c r="K29" s="423" t="n">
        <f aca="false">SUM(B29:J29)</f>
        <v>1275000</v>
      </c>
    </row>
    <row r="30" customFormat="false" ht="15" hidden="false" customHeight="true" outlineLevel="0" collapsed="false">
      <c r="A30" s="403" t="s">
        <v>1418</v>
      </c>
      <c r="B30" s="415" t="n">
        <f aca="false">MAX(0,B26-B29-B23*'APA Inputs'!$B$12)</f>
        <v>13296.7546</v>
      </c>
      <c r="C30" s="415" t="n">
        <f aca="false">MAX(0,C26-C29-C23*'APA Inputs'!$B$12)</f>
        <v>0</v>
      </c>
      <c r="D30" s="415" t="n">
        <f aca="false">MAX(0,D26-D29-D23*'APA Inputs'!$B$12)</f>
        <v>0</v>
      </c>
      <c r="E30" s="415" t="n">
        <f aca="false">MAX(0,E26-E29-E23*'APA Inputs'!$B$12)</f>
        <v>0</v>
      </c>
      <c r="F30" s="415" t="n">
        <f aca="false">MAX(0,F26-F29-F23*'APA Inputs'!$B$12)</f>
        <v>0</v>
      </c>
      <c r="G30" s="415" t="n">
        <f aca="false">MAX(0,G26-G29-G23*'APA Inputs'!$B$12)</f>
        <v>0</v>
      </c>
      <c r="H30" s="415" t="n">
        <f aca="false">MAX(0,H26-H29-H23*'APA Inputs'!$B$12)</f>
        <v>0</v>
      </c>
      <c r="I30" s="415" t="n">
        <f aca="false">MAX(0,I26-I29-I23*'APA Inputs'!$B$12)</f>
        <v>0</v>
      </c>
      <c r="J30" s="415" t="n">
        <f aca="false">MAX(0,J26-J29-J23*'APA Inputs'!$B$12)</f>
        <v>0</v>
      </c>
      <c r="K30" s="423" t="n">
        <f aca="false">SUM(B30:J30)</f>
        <v>13296.7546</v>
      </c>
    </row>
    <row r="31" customFormat="false" ht="15" hidden="false" customHeight="true" outlineLevel="0" collapsed="false">
      <c r="A31" s="403" t="s">
        <v>1419</v>
      </c>
      <c r="B31" s="415" t="n">
        <f aca="false">B30*'APA Inputs'!$B$13</f>
        <v>6648.3773</v>
      </c>
      <c r="C31" s="415" t="n">
        <f aca="false">C30*'APA Inputs'!$B$13</f>
        <v>0</v>
      </c>
      <c r="D31" s="415" t="n">
        <f aca="false">D30*'APA Inputs'!$B$13</f>
        <v>0</v>
      </c>
      <c r="E31" s="415" t="n">
        <f aca="false">E30*'APA Inputs'!$B$13</f>
        <v>0</v>
      </c>
      <c r="F31" s="415" t="n">
        <f aca="false">F30*'APA Inputs'!$B$13</f>
        <v>0</v>
      </c>
      <c r="G31" s="415" t="n">
        <f aca="false">G30*'APA Inputs'!$B$13</f>
        <v>0</v>
      </c>
      <c r="H31" s="415" t="n">
        <f aca="false">H30*'APA Inputs'!$B$13</f>
        <v>0</v>
      </c>
      <c r="I31" s="415" t="n">
        <f aca="false">I30*'APA Inputs'!$B$13</f>
        <v>0</v>
      </c>
      <c r="J31" s="415" t="n">
        <f aca="false">J30*'APA Inputs'!$B$13</f>
        <v>0</v>
      </c>
      <c r="K31" s="423" t="n">
        <f aca="false">SUM(B31:J31)</f>
        <v>6648.3773</v>
      </c>
    </row>
    <row r="32" customFormat="false" ht="15" hidden="false" customHeight="true" outlineLevel="0" collapsed="false">
      <c r="A32" s="403" t="s">
        <v>1420</v>
      </c>
      <c r="B32" s="415" t="n">
        <f aca="false">B30*(1-'APA Inputs'!$B$13)</f>
        <v>6648.3773</v>
      </c>
      <c r="C32" s="415" t="n">
        <f aca="false">C30*(1-'APA Inputs'!$B$13)</f>
        <v>0</v>
      </c>
      <c r="D32" s="415" t="n">
        <f aca="false">D30*(1-'APA Inputs'!$B$13)</f>
        <v>0</v>
      </c>
      <c r="E32" s="415" t="n">
        <f aca="false">E30*(1-'APA Inputs'!$B$13)</f>
        <v>0</v>
      </c>
      <c r="F32" s="415" t="n">
        <f aca="false">F30*(1-'APA Inputs'!$B$13)</f>
        <v>0</v>
      </c>
      <c r="G32" s="415" t="n">
        <f aca="false">G30*(1-'APA Inputs'!$B$13)</f>
        <v>0</v>
      </c>
      <c r="H32" s="415" t="n">
        <f aca="false">H30*(1-'APA Inputs'!$B$13)</f>
        <v>0</v>
      </c>
      <c r="I32" s="415" t="n">
        <f aca="false">I30*(1-'APA Inputs'!$B$13)</f>
        <v>0</v>
      </c>
      <c r="J32" s="415" t="n">
        <f aca="false">J30*(1-'APA Inputs'!$B$13)</f>
        <v>0</v>
      </c>
      <c r="K32" s="423" t="n">
        <f aca="false">SUM(B32:J32)</f>
        <v>6648.3773</v>
      </c>
    </row>
    <row r="33" customFormat="false" ht="15" hidden="false" customHeight="true" outlineLevel="0" collapsed="false">
      <c r="A33" s="425" t="s">
        <v>1421</v>
      </c>
      <c r="B33" s="426" t="n">
        <f aca="false">B29+B31+B32</f>
        <v>88296.7546</v>
      </c>
      <c r="C33" s="426" t="n">
        <f aca="false">C29+C31+C32</f>
        <v>150000</v>
      </c>
      <c r="D33" s="426" t="n">
        <f aca="false">D29+D31+D32</f>
        <v>150000</v>
      </c>
      <c r="E33" s="426" t="n">
        <f aca="false">E29+E31+E32</f>
        <v>150000</v>
      </c>
      <c r="F33" s="426" t="n">
        <f aca="false">F29+F31+F32</f>
        <v>150000</v>
      </c>
      <c r="G33" s="426" t="n">
        <f aca="false">G29+G31+G32</f>
        <v>150000</v>
      </c>
      <c r="H33" s="426" t="n">
        <f aca="false">H29+H31+H32</f>
        <v>150000</v>
      </c>
      <c r="I33" s="426" t="n">
        <f aca="false">I29+I31+I32</f>
        <v>150000</v>
      </c>
      <c r="J33" s="426" t="n">
        <f aca="false">J29+J31+J32</f>
        <v>150000</v>
      </c>
      <c r="K33" s="423" t="n">
        <f aca="false">SUM(B33:J33)</f>
        <v>1288296.7546</v>
      </c>
    </row>
    <row r="34" customFormat="false" ht="15" hidden="false" customHeight="true" outlineLevel="0" collapsed="false">
      <c r="A34" s="403" t="s">
        <v>1422</v>
      </c>
      <c r="B34" s="427" t="n">
        <f aca="false">IF(B23=0,0,B33/B23)</f>
        <v>0.849708428628316</v>
      </c>
      <c r="C34" s="427" t="n">
        <f aca="false">IF(C23=0,0,C33/C23)</f>
        <v>0.870876125767053</v>
      </c>
      <c r="D34" s="427" t="n">
        <f aca="false">IF(D23=0,0,D33/D23)</f>
        <v>2.7694376675279</v>
      </c>
      <c r="E34" s="427" t="n">
        <f aca="false">IF(E23=0,0,E33/E23)</f>
        <v>0</v>
      </c>
      <c r="F34" s="427" t="n">
        <f aca="false">IF(F23=0,0,F33/F23)</f>
        <v>0</v>
      </c>
      <c r="G34" s="427" t="n">
        <f aca="false">IF(G23=0,0,G33/G23)</f>
        <v>0</v>
      </c>
      <c r="H34" s="427" t="n">
        <f aca="false">IF(H23=0,0,H33/H23)</f>
        <v>0</v>
      </c>
      <c r="I34" s="427" t="n">
        <f aca="false">IF(I23=0,0,I33/I23)</f>
        <v>0</v>
      </c>
      <c r="J34" s="427" t="n">
        <f aca="false">IF(J23=0,0,J33/J23)</f>
        <v>0</v>
      </c>
      <c r="K34" s="421"/>
    </row>
    <row r="35" customFormat="false" ht="15" hidden="false" customHeight="true" outlineLevel="0" collapsed="false">
      <c r="A35" s="424" t="s">
        <v>1423</v>
      </c>
      <c r="B35" s="421"/>
      <c r="C35" s="421"/>
      <c r="D35" s="421"/>
      <c r="E35" s="421"/>
      <c r="F35" s="421"/>
      <c r="G35" s="421"/>
      <c r="H35" s="421"/>
      <c r="I35" s="421"/>
      <c r="J35" s="421"/>
      <c r="K35" s="421"/>
    </row>
    <row r="36" customFormat="false" ht="15" hidden="false" customHeight="true" outlineLevel="0" collapsed="false">
      <c r="A36" s="403" t="s">
        <v>1424</v>
      </c>
      <c r="B36" s="415" t="n">
        <f aca="false">B26-B33</f>
        <v>3117.42539999999</v>
      </c>
      <c r="C36" s="415" t="n">
        <f aca="false">C26-C33</f>
        <v>-2759.66</v>
      </c>
      <c r="D36" s="415" t="n">
        <f aca="false">D26-D33</f>
        <v>-121587.38</v>
      </c>
      <c r="E36" s="415" t="n">
        <f aca="false">E26-E33</f>
        <v>-176522.5</v>
      </c>
      <c r="F36" s="415" t="n">
        <f aca="false">F26-F33</f>
        <v>-177318.175</v>
      </c>
      <c r="G36" s="415" t="n">
        <f aca="false">G26-G33</f>
        <v>-178137.72025</v>
      </c>
      <c r="H36" s="415" t="n">
        <f aca="false">H26-H33</f>
        <v>-178981.8518575</v>
      </c>
      <c r="I36" s="415" t="n">
        <f aca="false">I26-I33</f>
        <v>-179851.307413225</v>
      </c>
      <c r="J36" s="415" t="n">
        <f aca="false">J26-J33</f>
        <v>-180746.846635622</v>
      </c>
      <c r="K36" s="423" t="n">
        <f aca="false">SUM(B36:J36)</f>
        <v>-1192788.01575635</v>
      </c>
    </row>
    <row r="37" customFormat="false" ht="15" hidden="false" customHeight="true" outlineLevel="0" collapsed="false">
      <c r="A37" s="403" t="s">
        <v>1425</v>
      </c>
      <c r="B37" s="415" t="n">
        <f aca="false">MAX('APA Inputs'!$B$17,MAX(0,B36)*'APA Inputs'!$B$16)</f>
        <v>800</v>
      </c>
      <c r="C37" s="415" t="n">
        <f aca="false">MAX('APA Inputs'!$B$17,MAX(0,C36)*'APA Inputs'!$B$16)</f>
        <v>800</v>
      </c>
      <c r="D37" s="415" t="n">
        <f aca="false">MAX('APA Inputs'!$B$17,MAX(0,D36)*'APA Inputs'!$B$16)</f>
        <v>800</v>
      </c>
      <c r="E37" s="415" t="n">
        <f aca="false">MAX('APA Inputs'!$B$17,MAX(0,E36)*'APA Inputs'!$B$16)</f>
        <v>800</v>
      </c>
      <c r="F37" s="415" t="n">
        <f aca="false">MAX('APA Inputs'!$B$17,MAX(0,F36)*'APA Inputs'!$B$16)</f>
        <v>800</v>
      </c>
      <c r="G37" s="415" t="n">
        <f aca="false">MAX('APA Inputs'!$B$17,MAX(0,G36)*'APA Inputs'!$B$16)</f>
        <v>800</v>
      </c>
      <c r="H37" s="415" t="n">
        <f aca="false">MAX('APA Inputs'!$B$17,MAX(0,H36)*'APA Inputs'!$B$16)</f>
        <v>800</v>
      </c>
      <c r="I37" s="415" t="n">
        <f aca="false">MAX('APA Inputs'!$B$17,MAX(0,I36)*'APA Inputs'!$B$16)</f>
        <v>800</v>
      </c>
      <c r="J37" s="415" t="n">
        <f aca="false">MAX('APA Inputs'!$B$17,MAX(0,J36)*'APA Inputs'!$B$16)</f>
        <v>800</v>
      </c>
      <c r="K37" s="423" t="n">
        <f aca="false">SUM(B37:J37)</f>
        <v>7200</v>
      </c>
    </row>
    <row r="38" customFormat="false" ht="15" hidden="false" customHeight="true" outlineLevel="0" collapsed="false">
      <c r="A38" s="403" t="s">
        <v>1426</v>
      </c>
      <c r="B38" s="415" t="n">
        <f aca="false">MAX(0,B36-B37)*'APA Inputs'!$B$15</f>
        <v>486.659333999998</v>
      </c>
      <c r="C38" s="415" t="n">
        <f aca="false">MAX(0,C36-C37)*'APA Inputs'!$B$15</f>
        <v>0</v>
      </c>
      <c r="D38" s="415" t="n">
        <f aca="false">MAX(0,D36-D37)*'APA Inputs'!$B$15</f>
        <v>0</v>
      </c>
      <c r="E38" s="415" t="n">
        <f aca="false">MAX(0,E36-E37)*'APA Inputs'!$B$15</f>
        <v>0</v>
      </c>
      <c r="F38" s="415" t="n">
        <f aca="false">MAX(0,F36-F37)*'APA Inputs'!$B$15</f>
        <v>0</v>
      </c>
      <c r="G38" s="415" t="n">
        <f aca="false">MAX(0,G36-G37)*'APA Inputs'!$B$15</f>
        <v>0</v>
      </c>
      <c r="H38" s="415" t="n">
        <f aca="false">MAX(0,H36-H37)*'APA Inputs'!$B$15</f>
        <v>0</v>
      </c>
      <c r="I38" s="415" t="n">
        <f aca="false">MAX(0,I36-I37)*'APA Inputs'!$B$15</f>
        <v>0</v>
      </c>
      <c r="J38" s="415" t="n">
        <f aca="false">MAX(0,J36-J37)*'APA Inputs'!$B$15</f>
        <v>0</v>
      </c>
      <c r="K38" s="423" t="n">
        <f aca="false">SUM(B38:J38)</f>
        <v>486.659333999998</v>
      </c>
    </row>
    <row r="39" customFormat="false" ht="15" hidden="false" customHeight="true" outlineLevel="0" collapsed="false">
      <c r="A39" s="411" t="s">
        <v>1427</v>
      </c>
      <c r="B39" s="423" t="n">
        <f aca="false">B36-B37-B38</f>
        <v>1830.76606599999</v>
      </c>
      <c r="C39" s="423" t="n">
        <f aca="false">C36-C37-C38</f>
        <v>-3559.66</v>
      </c>
      <c r="D39" s="423" t="n">
        <f aca="false">D36-D37-D38</f>
        <v>-122387.38</v>
      </c>
      <c r="E39" s="423" t="n">
        <f aca="false">E36-E37-E38</f>
        <v>-177322.5</v>
      </c>
      <c r="F39" s="423" t="n">
        <f aca="false">F36-F37-F38</f>
        <v>-178118.175</v>
      </c>
      <c r="G39" s="423" t="n">
        <f aca="false">G36-G37-G38</f>
        <v>-178937.72025</v>
      </c>
      <c r="H39" s="423" t="n">
        <f aca="false">H36-H37-H38</f>
        <v>-179781.8518575</v>
      </c>
      <c r="I39" s="423" t="n">
        <f aca="false">I36-I37-I38</f>
        <v>-180651.307413225</v>
      </c>
      <c r="J39" s="423" t="n">
        <f aca="false">J36-J37-J38</f>
        <v>-181546.846635622</v>
      </c>
      <c r="K39" s="423" t="n">
        <f aca="false">SUM(B39:J39)</f>
        <v>-1200474.67509035</v>
      </c>
    </row>
    <row r="40" customFormat="false" ht="15" hidden="false" customHeight="true" outlineLevel="0" collapsed="false">
      <c r="A40" s="403" t="s">
        <v>1428</v>
      </c>
      <c r="B40" s="415" t="n">
        <f aca="false">MAX(0,B39)</f>
        <v>1830.76606599999</v>
      </c>
      <c r="C40" s="415" t="n">
        <f aca="false">MAX(0,C39)</f>
        <v>0</v>
      </c>
      <c r="D40" s="415" t="n">
        <f aca="false">MAX(0,D39)</f>
        <v>0</v>
      </c>
      <c r="E40" s="415" t="n">
        <f aca="false">MAX(0,E39)</f>
        <v>0</v>
      </c>
      <c r="F40" s="415" t="n">
        <f aca="false">MAX(0,F39)</f>
        <v>0</v>
      </c>
      <c r="G40" s="415" t="n">
        <f aca="false">MAX(0,G39)</f>
        <v>0</v>
      </c>
      <c r="H40" s="415" t="n">
        <f aca="false">MAX(0,H39)</f>
        <v>0</v>
      </c>
      <c r="I40" s="415" t="n">
        <f aca="false">MAX(0,I39)</f>
        <v>0</v>
      </c>
      <c r="J40" s="415" t="n">
        <f aca="false">MAX(0,J39)</f>
        <v>0</v>
      </c>
      <c r="K40" s="423" t="n">
        <f aca="false">SUM(B40:J40)</f>
        <v>1830.76606599999</v>
      </c>
    </row>
    <row r="41" customFormat="false" ht="15" hidden="false" customHeight="true" outlineLevel="0" collapsed="false">
      <c r="A41" s="424" t="s">
        <v>1429</v>
      </c>
      <c r="B41" s="421"/>
      <c r="C41" s="421"/>
      <c r="D41" s="421"/>
      <c r="E41" s="421"/>
      <c r="F41" s="421"/>
      <c r="G41" s="421"/>
      <c r="H41" s="421"/>
      <c r="I41" s="421"/>
      <c r="J41" s="421"/>
      <c r="K41" s="421"/>
    </row>
    <row r="42" customFormat="false" ht="15" hidden="false" customHeight="true" outlineLevel="0" collapsed="false">
      <c r="A42" s="403" t="s">
        <v>1430</v>
      </c>
      <c r="B42" s="415" t="n">
        <f aca="false">B29+B31</f>
        <v>81648.3773</v>
      </c>
      <c r="C42" s="415" t="n">
        <f aca="false">C29+C31</f>
        <v>150000</v>
      </c>
      <c r="D42" s="415" t="n">
        <f aca="false">D29+D31</f>
        <v>150000</v>
      </c>
      <c r="E42" s="415" t="n">
        <f aca="false">E29+E31</f>
        <v>150000</v>
      </c>
      <c r="F42" s="415" t="n">
        <f aca="false">F29+F31</f>
        <v>150000</v>
      </c>
      <c r="G42" s="415" t="n">
        <f aca="false">G29+G31</f>
        <v>150000</v>
      </c>
      <c r="H42" s="415" t="n">
        <f aca="false">H29+H31</f>
        <v>150000</v>
      </c>
      <c r="I42" s="415" t="n">
        <f aca="false">I29+I31</f>
        <v>150000</v>
      </c>
      <c r="J42" s="415" t="n">
        <f aca="false">J29+J31</f>
        <v>150000</v>
      </c>
      <c r="K42" s="423" t="n">
        <f aca="false">SUM(B42:J42)</f>
        <v>1281648.3773</v>
      </c>
    </row>
    <row r="43" customFormat="false" ht="15" hidden="false" customHeight="true" outlineLevel="0" collapsed="false">
      <c r="A43" s="403" t="s">
        <v>1431</v>
      </c>
      <c r="B43" s="415" t="n">
        <f aca="false">B40*'APA Inputs'!$B$14</f>
        <v>915.383032999997</v>
      </c>
      <c r="C43" s="415" t="n">
        <f aca="false">C40*'APA Inputs'!$B$14</f>
        <v>0</v>
      </c>
      <c r="D43" s="415" t="n">
        <f aca="false">D40*'APA Inputs'!$B$14</f>
        <v>0</v>
      </c>
      <c r="E43" s="415" t="n">
        <f aca="false">E40*'APA Inputs'!$B$14</f>
        <v>0</v>
      </c>
      <c r="F43" s="415" t="n">
        <f aca="false">F40*'APA Inputs'!$B$14</f>
        <v>0</v>
      </c>
      <c r="G43" s="415" t="n">
        <f aca="false">G40*'APA Inputs'!$B$14</f>
        <v>0</v>
      </c>
      <c r="H43" s="415" t="n">
        <f aca="false">H40*'APA Inputs'!$B$14</f>
        <v>0</v>
      </c>
      <c r="I43" s="415" t="n">
        <f aca="false">I40*'APA Inputs'!$B$14</f>
        <v>0</v>
      </c>
      <c r="J43" s="415" t="n">
        <f aca="false">J40*'APA Inputs'!$B$14</f>
        <v>0</v>
      </c>
      <c r="K43" s="423" t="n">
        <f aca="false">SUM(B43:J43)</f>
        <v>915.383032999997</v>
      </c>
    </row>
    <row r="44" customFormat="false" ht="15" hidden="false" customHeight="true" outlineLevel="0" collapsed="false">
      <c r="A44" s="425" t="s">
        <v>1432</v>
      </c>
      <c r="B44" s="426" t="n">
        <f aca="false">B42+B43</f>
        <v>82563.760333</v>
      </c>
      <c r="C44" s="426" t="n">
        <f aca="false">C42+C43</f>
        <v>150000</v>
      </c>
      <c r="D44" s="426" t="n">
        <f aca="false">D42+D43</f>
        <v>150000</v>
      </c>
      <c r="E44" s="426" t="n">
        <f aca="false">E42+E43</f>
        <v>150000</v>
      </c>
      <c r="F44" s="426" t="n">
        <f aca="false">F42+F43</f>
        <v>150000</v>
      </c>
      <c r="G44" s="426" t="n">
        <f aca="false">G42+G43</f>
        <v>150000</v>
      </c>
      <c r="H44" s="426" t="n">
        <f aca="false">H42+H43</f>
        <v>150000</v>
      </c>
      <c r="I44" s="426" t="n">
        <f aca="false">I42+I43</f>
        <v>150000</v>
      </c>
      <c r="J44" s="426" t="n">
        <f aca="false">J42+J43</f>
        <v>150000</v>
      </c>
      <c r="K44" s="423" t="n">
        <f aca="false">SUM(B44:J44)</f>
        <v>1282563.760333</v>
      </c>
    </row>
    <row r="45" customFormat="false" ht="15" hidden="false" customHeight="true" outlineLevel="0" collapsed="false">
      <c r="A45" s="424" t="s">
        <v>1433</v>
      </c>
      <c r="B45" s="421"/>
      <c r="C45" s="421"/>
      <c r="D45" s="421"/>
      <c r="E45" s="421"/>
      <c r="F45" s="421"/>
      <c r="G45" s="421"/>
      <c r="H45" s="421"/>
      <c r="I45" s="421"/>
      <c r="J45" s="421"/>
      <c r="K45" s="421"/>
    </row>
    <row r="46" customFormat="false" ht="15" hidden="false" customHeight="true" outlineLevel="0" collapsed="false">
      <c r="A46" s="403" t="s">
        <v>1434</v>
      </c>
      <c r="B46" s="415" t="n">
        <f aca="false">B32</f>
        <v>6648.3773</v>
      </c>
      <c r="C46" s="415" t="n">
        <f aca="false">C32</f>
        <v>0</v>
      </c>
      <c r="D46" s="415" t="n">
        <f aca="false">D32</f>
        <v>0</v>
      </c>
      <c r="E46" s="415" t="n">
        <f aca="false">E32</f>
        <v>0</v>
      </c>
      <c r="F46" s="415" t="n">
        <f aca="false">F32</f>
        <v>0</v>
      </c>
      <c r="G46" s="415" t="n">
        <f aca="false">G32</f>
        <v>0</v>
      </c>
      <c r="H46" s="415" t="n">
        <f aca="false">H32</f>
        <v>0</v>
      </c>
      <c r="I46" s="415" t="n">
        <f aca="false">I32</f>
        <v>0</v>
      </c>
      <c r="J46" s="415" t="n">
        <f aca="false">J32</f>
        <v>0</v>
      </c>
      <c r="K46" s="423" t="n">
        <f aca="false">SUM(B46:J46)</f>
        <v>6648.3773</v>
      </c>
    </row>
    <row r="47" customFormat="false" ht="15" hidden="false" customHeight="true" outlineLevel="0" collapsed="false">
      <c r="A47" s="403" t="s">
        <v>1431</v>
      </c>
      <c r="B47" s="415" t="n">
        <f aca="false">B40*(1-'APA Inputs'!$B$14)</f>
        <v>915.383032999997</v>
      </c>
      <c r="C47" s="415" t="n">
        <f aca="false">C40*(1-'APA Inputs'!$B$14)</f>
        <v>0</v>
      </c>
      <c r="D47" s="415" t="n">
        <f aca="false">D40*(1-'APA Inputs'!$B$14)</f>
        <v>0</v>
      </c>
      <c r="E47" s="415" t="n">
        <f aca="false">E40*(1-'APA Inputs'!$B$14)</f>
        <v>0</v>
      </c>
      <c r="F47" s="415" t="n">
        <f aca="false">F40*(1-'APA Inputs'!$B$14)</f>
        <v>0</v>
      </c>
      <c r="G47" s="415" t="n">
        <f aca="false">G40*(1-'APA Inputs'!$B$14)</f>
        <v>0</v>
      </c>
      <c r="H47" s="415" t="n">
        <f aca="false">H40*(1-'APA Inputs'!$B$14)</f>
        <v>0</v>
      </c>
      <c r="I47" s="415" t="n">
        <f aca="false">I40*(1-'APA Inputs'!$B$14)</f>
        <v>0</v>
      </c>
      <c r="J47" s="415" t="n">
        <f aca="false">J40*(1-'APA Inputs'!$B$14)</f>
        <v>0</v>
      </c>
      <c r="K47" s="423" t="n">
        <f aca="false">SUM(B47:J47)</f>
        <v>915.383032999997</v>
      </c>
    </row>
    <row r="48" customFormat="false" ht="15" hidden="false" customHeight="true" outlineLevel="0" collapsed="false">
      <c r="A48" s="425" t="s">
        <v>1435</v>
      </c>
      <c r="B48" s="426" t="n">
        <f aca="false">B46+B47</f>
        <v>7563.760333</v>
      </c>
      <c r="C48" s="426" t="n">
        <f aca="false">C46+C47</f>
        <v>0</v>
      </c>
      <c r="D48" s="426" t="n">
        <f aca="false">D46+D47</f>
        <v>0</v>
      </c>
      <c r="E48" s="426" t="n">
        <f aca="false">E46+E47</f>
        <v>0</v>
      </c>
      <c r="F48" s="426" t="n">
        <f aca="false">F46+F47</f>
        <v>0</v>
      </c>
      <c r="G48" s="426" t="n">
        <f aca="false">G46+G47</f>
        <v>0</v>
      </c>
      <c r="H48" s="426" t="n">
        <f aca="false">H46+H47</f>
        <v>0</v>
      </c>
      <c r="I48" s="426" t="n">
        <f aca="false">I46+I47</f>
        <v>0</v>
      </c>
      <c r="J48" s="426" t="n">
        <f aca="false">J46+J47</f>
        <v>0</v>
      </c>
      <c r="K48" s="423" t="n">
        <f aca="false">SUM(B48:J48)</f>
        <v>7563.760333</v>
      </c>
    </row>
    <row r="49" customFormat="false" ht="15" hidden="false" customHeight="true" outlineLevel="0" collapsed="false">
      <c r="A49" s="424" t="s">
        <v>1436</v>
      </c>
      <c r="B49" s="421"/>
      <c r="C49" s="421"/>
      <c r="D49" s="421"/>
      <c r="E49" s="421"/>
      <c r="F49" s="421"/>
      <c r="G49" s="421"/>
      <c r="H49" s="421"/>
      <c r="I49" s="421"/>
      <c r="J49" s="421"/>
      <c r="K49" s="421"/>
    </row>
    <row r="50" customFormat="false" ht="15" hidden="false" customHeight="true" outlineLevel="0" collapsed="false">
      <c r="A50" s="403" t="s">
        <v>1437</v>
      </c>
      <c r="B50" s="415" t="n">
        <f aca="false">-MIN(0,B39)</f>
        <v>-0</v>
      </c>
      <c r="C50" s="415" t="n">
        <f aca="false">-MIN(0,C39)</f>
        <v>3559.66</v>
      </c>
      <c r="D50" s="415" t="n">
        <f aca="false">-MIN(0,D39)</f>
        <v>122387.38</v>
      </c>
      <c r="E50" s="415" t="n">
        <f aca="false">-MIN(0,E39)</f>
        <v>177322.5</v>
      </c>
      <c r="F50" s="415" t="n">
        <f aca="false">-MIN(0,F39)</f>
        <v>178118.175</v>
      </c>
      <c r="G50" s="415" t="n">
        <f aca="false">-MIN(0,G39)</f>
        <v>178937.72025</v>
      </c>
      <c r="H50" s="415" t="n">
        <f aca="false">-MIN(0,H39)</f>
        <v>179781.8518575</v>
      </c>
      <c r="I50" s="415" t="n">
        <f aca="false">-MIN(0,I39)</f>
        <v>180651.307413225</v>
      </c>
      <c r="J50" s="415" t="n">
        <f aca="false">-MIN(0,J39)</f>
        <v>181546.846635622</v>
      </c>
      <c r="K50" s="423" t="n">
        <f aca="false">SUM(B50:J50)</f>
        <v>1202305.44115635</v>
      </c>
    </row>
    <row r="51" customFormat="false" ht="15" hidden="false" customHeight="true" outlineLevel="0" collapsed="false">
      <c r="A51" s="428" t="s">
        <v>1438</v>
      </c>
      <c r="B51" s="429" t="n">
        <f aca="false">ROUND(B23-B25-B37-B38-B44-B48+B50,0)</f>
        <v>0</v>
      </c>
      <c r="C51" s="429" t="n">
        <f aca="false">ROUND(C23-C25-C37-C38-C44-C48+C50,0)</f>
        <v>0</v>
      </c>
      <c r="D51" s="429" t="n">
        <f aca="false">ROUND(D23-D25-D37-D38-D44-D48+D50,0)</f>
        <v>0</v>
      </c>
      <c r="E51" s="429" t="n">
        <f aca="false">ROUND(E23-E25-E37-E38-E44-E48+E50,0)</f>
        <v>0</v>
      </c>
      <c r="F51" s="429" t="n">
        <f aca="false">ROUND(F23-F25-F37-F38-F44-F48+F50,0)</f>
        <v>0</v>
      </c>
      <c r="G51" s="429" t="n">
        <f aca="false">ROUND(G23-G25-G37-G38-G44-G48+G50,0)</f>
        <v>0</v>
      </c>
      <c r="H51" s="429" t="n">
        <f aca="false">ROUND(H23-H25-H37-H38-H44-H48+H50,0)</f>
        <v>0</v>
      </c>
      <c r="I51" s="429" t="n">
        <f aca="false">ROUND(I23-I25-I37-I38-I44-I48+I50,0)</f>
        <v>0</v>
      </c>
      <c r="J51" s="429" t="n">
        <f aca="false">ROUND(J23-J25-J37-J38-J44-J48+J50,0)</f>
        <v>0</v>
      </c>
      <c r="K51" s="423" t="n">
        <f aca="false">SUM(B51:J51)</f>
        <v>0</v>
      </c>
    </row>
    <row r="53" customFormat="false" ht="15" hidden="false" customHeight="true" outlineLevel="0" collapsed="false">
      <c r="A53" s="403" t="s">
        <v>1439</v>
      </c>
      <c r="B53" s="415" t="n">
        <f aca="false">MIN(B29,B50)</f>
        <v>-0</v>
      </c>
      <c r="C53" s="415" t="n">
        <f aca="false">MIN(C29,C50)</f>
        <v>3559.66</v>
      </c>
      <c r="D53" s="415" t="n">
        <f aca="false">MIN(D29,D50)</f>
        <v>122387.38</v>
      </c>
      <c r="E53" s="415" t="n">
        <f aca="false">MIN(E29,E50)</f>
        <v>150000</v>
      </c>
      <c r="F53" s="415" t="n">
        <f aca="false">MIN(F29,F50)</f>
        <v>150000</v>
      </c>
      <c r="G53" s="415" t="n">
        <f aca="false">MIN(G29,G50)</f>
        <v>150000</v>
      </c>
      <c r="H53" s="415" t="n">
        <f aca="false">MIN(H29,H50)</f>
        <v>150000</v>
      </c>
      <c r="I53" s="415" t="n">
        <f aca="false">MIN(I29,I50)</f>
        <v>150000</v>
      </c>
      <c r="J53" s="415" t="n">
        <f aca="false">MIN(J29,J50)</f>
        <v>150000</v>
      </c>
      <c r="K53" s="415" t="n">
        <f aca="false">SUM(B53:J53)</f>
        <v>1025947.04</v>
      </c>
    </row>
    <row r="54" customFormat="false" ht="15" hidden="false" customHeight="true" outlineLevel="0" collapsed="false">
      <c r="A54" s="403" t="s">
        <v>1440</v>
      </c>
      <c r="B54" s="415" t="n">
        <f aca="false">B53</f>
        <v>-0</v>
      </c>
      <c r="C54" s="415" t="n">
        <f aca="false">B54+C53</f>
        <v>3559.66</v>
      </c>
      <c r="D54" s="415" t="n">
        <f aca="false">C54+D53</f>
        <v>125947.04</v>
      </c>
      <c r="E54" s="415" t="n">
        <f aca="false">D54+E53</f>
        <v>275947.04</v>
      </c>
      <c r="F54" s="415" t="n">
        <f aca="false">E54+F53</f>
        <v>425947.04</v>
      </c>
      <c r="G54" s="415" t="n">
        <f aca="false">F54+G53</f>
        <v>575947.04</v>
      </c>
      <c r="H54" s="415" t="n">
        <f aca="false">G54+H53</f>
        <v>725947.04</v>
      </c>
      <c r="I54" s="415" t="n">
        <f aca="false">H54+I53</f>
        <v>875947.04</v>
      </c>
      <c r="J54" s="415" t="n">
        <f aca="false">I54+J53</f>
        <v>1025947.04</v>
      </c>
      <c r="K54" s="415"/>
    </row>
    <row r="56" customFormat="false" ht="15" hidden="false" customHeight="true" outlineLevel="0" collapsed="false">
      <c r="A56" s="399" t="s">
        <v>1441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2026-10-29T14:49:51Z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